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ahdb-wpfs01\Market Intelligence\DairyCo MI\Datum from M\Historic Staff Files\Chris\Forecasts\"/>
    </mc:Choice>
  </mc:AlternateContent>
  <xr:revisionPtr revIDLastSave="0" documentId="13_ncr:1_{6BD19D33-0979-4BB2-88FA-276EB9164539}" xr6:coauthVersionLast="47" xr6:coauthVersionMax="47" xr10:uidLastSave="{00000000-0000-0000-0000-000000000000}"/>
  <bookViews>
    <workbookView xWindow="-110" yWindow="-110" windowWidth="19420" windowHeight="11620" firstSheet="1" activeTab="1" xr2:uid="{00000000-000D-0000-FFFF-FFFF00000000}"/>
  </bookViews>
  <sheets>
    <sheet name="Instructions" sheetId="17" r:id="rId1"/>
    <sheet name="Input" sheetId="3" r:id="rId2"/>
    <sheet name="Calving input" sheetId="10" r:id="rId3"/>
    <sheet name="Culling rate" sheetId="18" r:id="rId4"/>
    <sheet name="Output" sheetId="13" r:id="rId5"/>
    <sheet name="Output charts" sheetId="16" r:id="rId6"/>
    <sheet name="Outputs for chart" sheetId="15" state="hidden" r:id="rId7"/>
    <sheet name="Hidden calculation original" sheetId="1" state="hidden" r:id="rId8"/>
    <sheet name="Hidden calculation alter" sheetId="14" state="hidden" r:id="rId9"/>
    <sheet name="Yields for charts" sheetId="6" state="hidden" r:id="rId10"/>
    <sheet name="Lists" sheetId="4" state="hidden" r:id="rId11"/>
  </sheets>
  <definedNames>
    <definedName name="_xlnm.Print_Area" localSheetId="2">'Calving input'!$A$1:$L$56</definedName>
    <definedName name="_xlnm.Print_Area" localSheetId="4">Output!$A$1:$Q$50</definedName>
    <definedName name="_xlnm.Print_Titles" localSheetId="2">'Calving input'!$A:$B,'Calving input'!$2:$4</definedName>
    <definedName name="_xlnm.Print_Titles" localSheetId="4">Output!$A:$A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4" l="1"/>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54" i="4"/>
  <c r="C54" i="4"/>
  <c r="B55" i="4"/>
  <c r="C55" i="4"/>
  <c r="B56" i="4"/>
  <c r="C56" i="4"/>
  <c r="B57" i="4"/>
  <c r="C57" i="4"/>
  <c r="B58" i="4"/>
  <c r="C58" i="4"/>
  <c r="B59" i="4"/>
  <c r="C59" i="4"/>
  <c r="B60" i="4"/>
  <c r="C60" i="4"/>
  <c r="B61" i="4"/>
  <c r="C61" i="4"/>
  <c r="B62" i="4"/>
  <c r="C62" i="4"/>
  <c r="B63" i="4"/>
  <c r="C63" i="4"/>
  <c r="B64" i="4"/>
  <c r="C64" i="4"/>
  <c r="B65" i="4"/>
  <c r="C65" i="4"/>
  <c r="B66" i="4"/>
  <c r="C66" i="4"/>
  <c r="B67" i="4"/>
  <c r="C67" i="4"/>
  <c r="B68" i="4"/>
  <c r="C68" i="4"/>
  <c r="B69" i="4"/>
  <c r="C69" i="4"/>
  <c r="B70" i="4"/>
  <c r="C70" i="4"/>
  <c r="B71" i="4"/>
  <c r="C71" i="4"/>
  <c r="B72" i="4"/>
  <c r="C72" i="4"/>
  <c r="B73" i="4"/>
  <c r="C73" i="4"/>
  <c r="B74" i="4"/>
  <c r="C74" i="4"/>
  <c r="B75" i="4"/>
  <c r="C75" i="4"/>
  <c r="B76" i="4"/>
  <c r="C76" i="4"/>
  <c r="B77" i="4"/>
  <c r="C77" i="4"/>
  <c r="B78" i="4"/>
  <c r="C78" i="4"/>
  <c r="B79" i="4"/>
  <c r="C79" i="4"/>
  <c r="B80" i="4"/>
  <c r="C80" i="4"/>
  <c r="B81" i="4"/>
  <c r="C81" i="4"/>
  <c r="B82" i="4"/>
  <c r="C82" i="4"/>
  <c r="B83" i="4"/>
  <c r="C83" i="4"/>
  <c r="B84" i="4"/>
  <c r="C84" i="4"/>
  <c r="B85" i="4"/>
  <c r="C85" i="4"/>
  <c r="B86" i="4"/>
  <c r="C86" i="4"/>
  <c r="B87" i="4"/>
  <c r="C87" i="4"/>
  <c r="B88" i="4"/>
  <c r="C88" i="4"/>
  <c r="B89" i="4"/>
  <c r="C89" i="4"/>
  <c r="B90" i="4"/>
  <c r="C90" i="4"/>
  <c r="B91" i="4"/>
  <c r="C91" i="4"/>
  <c r="B92" i="4"/>
  <c r="C92" i="4"/>
  <c r="B93" i="4"/>
  <c r="C93" i="4"/>
  <c r="B94" i="4"/>
  <c r="C94" i="4"/>
  <c r="B95" i="4"/>
  <c r="C95" i="4"/>
  <c r="B96" i="4"/>
  <c r="C96" i="4"/>
  <c r="B97" i="4"/>
  <c r="C97" i="4"/>
  <c r="B98" i="4"/>
  <c r="C98" i="4"/>
  <c r="B99" i="4"/>
  <c r="C99" i="4"/>
  <c r="B100" i="4"/>
  <c r="C100" i="4"/>
  <c r="B101" i="4"/>
  <c r="C101" i="4"/>
  <c r="B102" i="4"/>
  <c r="C102" i="4"/>
  <c r="B103" i="4"/>
  <c r="C103" i="4"/>
  <c r="B104" i="4"/>
  <c r="C104" i="4"/>
  <c r="B105" i="4"/>
  <c r="C105" i="4"/>
  <c r="B106" i="4"/>
  <c r="C106" i="4"/>
  <c r="B107" i="4"/>
  <c r="C107" i="4"/>
  <c r="B108" i="4"/>
  <c r="C108" i="4"/>
  <c r="B109" i="4"/>
  <c r="C109" i="4"/>
  <c r="AI2" i="14"/>
  <c r="AH2" i="14"/>
  <c r="AG2" i="14"/>
  <c r="AF2" i="14"/>
  <c r="R2" i="14"/>
  <c r="Q2" i="14"/>
  <c r="P2" i="14"/>
  <c r="O2" i="14"/>
  <c r="AI2" i="1"/>
  <c r="AH2" i="1"/>
  <c r="AG2" i="1"/>
  <c r="AF2" i="1"/>
  <c r="R2" i="1"/>
  <c r="Q2" i="1"/>
  <c r="P2" i="1"/>
  <c r="O2" i="1"/>
  <c r="H7" i="10" l="1"/>
  <c r="H8" i="10" s="1"/>
  <c r="I6" i="10"/>
  <c r="I7" i="10" s="1"/>
  <c r="H6" i="10"/>
  <c r="D6" i="10"/>
  <c r="D19" i="10" s="1"/>
  <c r="D32" i="10" s="1"/>
  <c r="D45" i="10" s="1"/>
  <c r="C6" i="10"/>
  <c r="C7" i="10" s="1"/>
  <c r="F42" i="10"/>
  <c r="F55" i="10" s="1"/>
  <c r="E42" i="10"/>
  <c r="E55" i="10" s="1"/>
  <c r="F41" i="10"/>
  <c r="F54" i="10" s="1"/>
  <c r="G39" i="10"/>
  <c r="G52" i="10" s="1"/>
  <c r="F39" i="10"/>
  <c r="F52" i="10" s="1"/>
  <c r="G38" i="10"/>
  <c r="G51" i="10" s="1"/>
  <c r="E37" i="10"/>
  <c r="E50" i="10" s="1"/>
  <c r="G36" i="10"/>
  <c r="G49" i="10" s="1"/>
  <c r="E36" i="10"/>
  <c r="E49" i="10" s="1"/>
  <c r="F34" i="10"/>
  <c r="F47" i="10" s="1"/>
  <c r="E34" i="10"/>
  <c r="E47" i="10" s="1"/>
  <c r="F33" i="10"/>
  <c r="F46" i="10" s="1"/>
  <c r="G31" i="10"/>
  <c r="G44" i="10" s="1"/>
  <c r="F31" i="10"/>
  <c r="F44" i="10" s="1"/>
  <c r="E31" i="10"/>
  <c r="E44" i="10" s="1"/>
  <c r="G19" i="10"/>
  <c r="G20" i="10" s="1"/>
  <c r="G21" i="10" s="1"/>
  <c r="G22" i="10" s="1"/>
  <c r="G23" i="10" s="1"/>
  <c r="G24" i="10" s="1"/>
  <c r="G25" i="10" s="1"/>
  <c r="G26" i="10" s="1"/>
  <c r="G27" i="10" s="1"/>
  <c r="G28" i="10" s="1"/>
  <c r="G29" i="10" s="1"/>
  <c r="G42" i="10" s="1"/>
  <c r="G55" i="10" s="1"/>
  <c r="F19" i="10"/>
  <c r="F20" i="10" s="1"/>
  <c r="F21" i="10" s="1"/>
  <c r="F22" i="10" s="1"/>
  <c r="F23" i="10" s="1"/>
  <c r="F24" i="10" s="1"/>
  <c r="F25" i="10" s="1"/>
  <c r="F26" i="10" s="1"/>
  <c r="F27" i="10" s="1"/>
  <c r="F28" i="10" s="1"/>
  <c r="F29" i="10" s="1"/>
  <c r="E19" i="10"/>
  <c r="E20" i="10" s="1"/>
  <c r="E21" i="10" s="1"/>
  <c r="E22" i="10" s="1"/>
  <c r="E23" i="10" s="1"/>
  <c r="E24" i="10" s="1"/>
  <c r="E25" i="10" s="1"/>
  <c r="E26" i="10" s="1"/>
  <c r="E27" i="10" s="1"/>
  <c r="E28" i="10" s="1"/>
  <c r="E29" i="10" s="1"/>
  <c r="C19" i="10"/>
  <c r="C32" i="10" s="1"/>
  <c r="C45" i="10" s="1"/>
  <c r="D18" i="10"/>
  <c r="D31" i="10" s="1"/>
  <c r="D44" i="10" s="1"/>
  <c r="C18" i="10"/>
  <c r="C31" i="10" s="1"/>
  <c r="C44" i="10" s="1"/>
  <c r="G33" i="10" l="1"/>
  <c r="G46" i="10" s="1"/>
  <c r="F36" i="10"/>
  <c r="F49" i="10" s="1"/>
  <c r="E39" i="10"/>
  <c r="E52" i="10" s="1"/>
  <c r="G41" i="10"/>
  <c r="G54" i="10" s="1"/>
  <c r="D7" i="10"/>
  <c r="E32" i="10"/>
  <c r="E45" i="10" s="1"/>
  <c r="G34" i="10"/>
  <c r="G47" i="10" s="1"/>
  <c r="F37" i="10"/>
  <c r="F50" i="10" s="1"/>
  <c r="E40" i="10"/>
  <c r="E53" i="10" s="1"/>
  <c r="F32" i="10"/>
  <c r="F45" i="10" s="1"/>
  <c r="E35" i="10"/>
  <c r="E48" i="10" s="1"/>
  <c r="G37" i="10"/>
  <c r="G50" i="10" s="1"/>
  <c r="F40" i="10"/>
  <c r="F53" i="10" s="1"/>
  <c r="G32" i="10"/>
  <c r="G45" i="10" s="1"/>
  <c r="F35" i="10"/>
  <c r="F48" i="10" s="1"/>
  <c r="E38" i="10"/>
  <c r="E51" i="10" s="1"/>
  <c r="G40" i="10"/>
  <c r="G53" i="10" s="1"/>
  <c r="E33" i="10"/>
  <c r="E46" i="10" s="1"/>
  <c r="G35" i="10"/>
  <c r="G48" i="10" s="1"/>
  <c r="F38" i="10"/>
  <c r="F51" i="10" s="1"/>
  <c r="E41" i="10"/>
  <c r="E54" i="10" s="1"/>
  <c r="H9" i="10"/>
  <c r="I8" i="10"/>
  <c r="C8" i="10"/>
  <c r="C20" i="10"/>
  <c r="C33" i="10" s="1"/>
  <c r="C46" i="10" s="1"/>
  <c r="D20" i="10" l="1"/>
  <c r="D33" i="10" s="1"/>
  <c r="D46" i="10" s="1"/>
  <c r="D8" i="10"/>
  <c r="H10" i="10"/>
  <c r="H11" i="10" s="1"/>
  <c r="H12" i="10" s="1"/>
  <c r="H13" i="10" s="1"/>
  <c r="I9" i="10"/>
  <c r="C21" i="10"/>
  <c r="C34" i="10" s="1"/>
  <c r="C47" i="10" s="1"/>
  <c r="C9" i="10"/>
  <c r="D9" i="10" l="1"/>
  <c r="D21" i="10"/>
  <c r="D34" i="10" s="1"/>
  <c r="D47" i="10" s="1"/>
  <c r="H14" i="10"/>
  <c r="I10" i="10"/>
  <c r="I11" i="10" s="1"/>
  <c r="I12" i="10" s="1"/>
  <c r="I13" i="10" s="1"/>
  <c r="C10" i="10"/>
  <c r="C22" i="10"/>
  <c r="C35" i="10" s="1"/>
  <c r="C48" i="10" s="1"/>
  <c r="D22" i="10" l="1"/>
  <c r="D35" i="10" s="1"/>
  <c r="D48" i="10" s="1"/>
  <c r="D10" i="10"/>
  <c r="H15" i="10"/>
  <c r="I14" i="10"/>
  <c r="C23" i="10"/>
  <c r="C36" i="10" s="1"/>
  <c r="C49" i="10" s="1"/>
  <c r="C11" i="10"/>
  <c r="D11" i="10" l="1"/>
  <c r="D23" i="10"/>
  <c r="D36" i="10" s="1"/>
  <c r="D49" i="10" s="1"/>
  <c r="H16" i="10"/>
  <c r="I15" i="10"/>
  <c r="C12" i="10"/>
  <c r="C24" i="10"/>
  <c r="C37" i="10" s="1"/>
  <c r="C50" i="10" s="1"/>
  <c r="D24" i="10" l="1"/>
  <c r="D37" i="10" s="1"/>
  <c r="D50" i="10" s="1"/>
  <c r="D12" i="10"/>
  <c r="I16" i="10"/>
  <c r="C25" i="10"/>
  <c r="C38" i="10" s="1"/>
  <c r="C51" i="10" s="1"/>
  <c r="C13" i="10"/>
  <c r="D25" i="10" l="1"/>
  <c r="D38" i="10" s="1"/>
  <c r="D51" i="10" s="1"/>
  <c r="D13" i="10"/>
  <c r="C26" i="10"/>
  <c r="C39" i="10" s="1"/>
  <c r="C52" i="10" s="1"/>
  <c r="C14" i="10"/>
  <c r="D26" i="10" l="1"/>
  <c r="D39" i="10" s="1"/>
  <c r="D52" i="10" s="1"/>
  <c r="D14" i="10"/>
  <c r="C15" i="10"/>
  <c r="C27" i="10"/>
  <c r="C40" i="10" s="1"/>
  <c r="C53" i="10" s="1"/>
  <c r="D15" i="10" l="1"/>
  <c r="D27" i="10"/>
  <c r="D40" i="10" s="1"/>
  <c r="D53" i="10" s="1"/>
  <c r="C16" i="10"/>
  <c r="C29" i="10" s="1"/>
  <c r="C42" i="10" s="1"/>
  <c r="C55" i="10" s="1"/>
  <c r="C28" i="10"/>
  <c r="C41" i="10" s="1"/>
  <c r="C54" i="10" s="1"/>
  <c r="D28" i="10" l="1"/>
  <c r="D41" i="10" s="1"/>
  <c r="D54" i="10" s="1"/>
  <c r="D16" i="10"/>
  <c r="D29" i="10" s="1"/>
  <c r="D42" i="10" s="1"/>
  <c r="D55" i="10" s="1"/>
  <c r="I5" i="18"/>
  <c r="I6" i="18" s="1"/>
  <c r="H5" i="18"/>
  <c r="H6" i="18" s="1"/>
  <c r="G5" i="18"/>
  <c r="G6" i="18" s="1"/>
  <c r="F5" i="18"/>
  <c r="H7" i="18" l="1"/>
  <c r="F2" i="14"/>
  <c r="E2" i="1"/>
  <c r="F6" i="18"/>
  <c r="I7" i="18"/>
  <c r="W2" i="14"/>
  <c r="G7" i="18"/>
  <c r="W2" i="1"/>
  <c r="V2" i="14"/>
  <c r="E2" i="14"/>
  <c r="V2" i="1"/>
  <c r="F29" i="3"/>
  <c r="F17" i="3"/>
  <c r="AZ8" i="1"/>
  <c r="AZ6" i="1"/>
  <c r="AZ7" i="1"/>
  <c r="AZ5" i="1"/>
  <c r="F7" i="18" l="1"/>
  <c r="F2" i="1"/>
  <c r="I8" i="18"/>
  <c r="X2" i="14"/>
  <c r="G2" i="14"/>
  <c r="H8" i="18"/>
  <c r="G8" i="18"/>
  <c r="X2" i="1"/>
  <c r="AU2" i="14"/>
  <c r="AT2" i="14"/>
  <c r="H2" i="14" l="1"/>
  <c r="H9" i="18"/>
  <c r="I9" i="18"/>
  <c r="Y2" i="14"/>
  <c r="F8" i="18"/>
  <c r="G2" i="1"/>
  <c r="Y2" i="1"/>
  <c r="G9" i="18"/>
  <c r="R5" i="6"/>
  <c r="R6" i="6"/>
  <c r="R7" i="6"/>
  <c r="R8" i="6"/>
  <c r="R9" i="6"/>
  <c r="R10" i="6"/>
  <c r="R11" i="6"/>
  <c r="R12" i="6"/>
  <c r="R13" i="6"/>
  <c r="R14" i="6"/>
  <c r="R15" i="6"/>
  <c r="R16" i="6"/>
  <c r="AA16" i="6" s="1"/>
  <c r="R17" i="6"/>
  <c r="AA17" i="6" s="1"/>
  <c r="R4" i="6"/>
  <c r="V43" i="6"/>
  <c r="Q37" i="6" s="1"/>
  <c r="U43" i="6"/>
  <c r="P34" i="6" s="1"/>
  <c r="F9" i="18" l="1"/>
  <c r="H2" i="1"/>
  <c r="U16" i="6"/>
  <c r="Z2" i="14"/>
  <c r="I10" i="18"/>
  <c r="V16" i="6"/>
  <c r="H10" i="18"/>
  <c r="I2" i="14"/>
  <c r="U17" i="6"/>
  <c r="G10" i="18"/>
  <c r="Z2" i="1"/>
  <c r="Q34" i="6"/>
  <c r="P31" i="6"/>
  <c r="P6" i="6" s="1"/>
  <c r="Q31" i="6"/>
  <c r="Q35" i="6"/>
  <c r="Q10" i="6" s="1"/>
  <c r="V17" i="6"/>
  <c r="P32" i="6"/>
  <c r="P36" i="6"/>
  <c r="Z16" i="6"/>
  <c r="Q32" i="6"/>
  <c r="Q36" i="6"/>
  <c r="Q11" i="6" s="1"/>
  <c r="P30" i="6"/>
  <c r="P38" i="6"/>
  <c r="P13" i="6" s="1"/>
  <c r="Q30" i="6"/>
  <c r="Q5" i="6" s="1"/>
  <c r="P35" i="6"/>
  <c r="P10" i="6" s="1"/>
  <c r="P29" i="6"/>
  <c r="P33" i="6"/>
  <c r="P37" i="6"/>
  <c r="Z17" i="6"/>
  <c r="Q38" i="6"/>
  <c r="Q29" i="6"/>
  <c r="Q33" i="6"/>
  <c r="Q8" i="6" s="1"/>
  <c r="AU2" i="1"/>
  <c r="S58" i="1"/>
  <c r="S57" i="1"/>
  <c r="S56" i="1"/>
  <c r="S55" i="1"/>
  <c r="S58" i="14"/>
  <c r="S57" i="14"/>
  <c r="S56" i="14"/>
  <c r="S55" i="14"/>
  <c r="S54" i="14"/>
  <c r="S53" i="14"/>
  <c r="S52" i="14"/>
  <c r="S51" i="14"/>
  <c r="S50" i="14"/>
  <c r="S49" i="14"/>
  <c r="S48" i="14"/>
  <c r="S47" i="14"/>
  <c r="S46" i="14"/>
  <c r="S45" i="14"/>
  <c r="S44" i="14"/>
  <c r="S43" i="14"/>
  <c r="O23" i="6"/>
  <c r="N23" i="6"/>
  <c r="M24" i="6"/>
  <c r="L24" i="6"/>
  <c r="M23" i="6"/>
  <c r="L23" i="6"/>
  <c r="K24" i="6"/>
  <c r="J24" i="6"/>
  <c r="K23" i="6"/>
  <c r="J23" i="6"/>
  <c r="I24" i="6"/>
  <c r="H24" i="6"/>
  <c r="G24" i="6"/>
  <c r="F24" i="6"/>
  <c r="G23" i="6"/>
  <c r="F23" i="6"/>
  <c r="E24" i="6"/>
  <c r="D24" i="6"/>
  <c r="E23" i="6"/>
  <c r="D23"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Q13" i="6"/>
  <c r="O13" i="6"/>
  <c r="N13" i="6"/>
  <c r="M13" i="6"/>
  <c r="L13" i="6"/>
  <c r="K13" i="6"/>
  <c r="J13" i="6"/>
  <c r="I13" i="6"/>
  <c r="H13" i="6"/>
  <c r="G13" i="6"/>
  <c r="F13" i="6"/>
  <c r="E13" i="6"/>
  <c r="D13" i="6"/>
  <c r="C13" i="6"/>
  <c r="B13" i="6"/>
  <c r="Q12" i="6"/>
  <c r="P12" i="6"/>
  <c r="O12" i="6"/>
  <c r="N12" i="6"/>
  <c r="M12" i="6"/>
  <c r="L12" i="6"/>
  <c r="K12" i="6"/>
  <c r="J12" i="6"/>
  <c r="I12" i="6"/>
  <c r="H12" i="6"/>
  <c r="G12" i="6"/>
  <c r="F12" i="6"/>
  <c r="E12" i="6"/>
  <c r="D12" i="6"/>
  <c r="C12" i="6"/>
  <c r="B12" i="6"/>
  <c r="P11"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Q9" i="6"/>
  <c r="P9" i="6"/>
  <c r="O9" i="6"/>
  <c r="N9" i="6"/>
  <c r="M9" i="6"/>
  <c r="L9" i="6"/>
  <c r="K9" i="6"/>
  <c r="J9" i="6"/>
  <c r="I9" i="6"/>
  <c r="H9" i="6"/>
  <c r="G9" i="6"/>
  <c r="F9" i="6"/>
  <c r="E9" i="6"/>
  <c r="D9" i="6"/>
  <c r="C9" i="6"/>
  <c r="B9" i="6"/>
  <c r="P8" i="6"/>
  <c r="O8" i="6"/>
  <c r="N8" i="6"/>
  <c r="M8" i="6"/>
  <c r="L8" i="6"/>
  <c r="K8" i="6"/>
  <c r="J8" i="6"/>
  <c r="I8" i="6"/>
  <c r="H8" i="6"/>
  <c r="G8" i="6"/>
  <c r="F8" i="6"/>
  <c r="E8" i="6"/>
  <c r="D8" i="6"/>
  <c r="C8" i="6"/>
  <c r="B8" i="6"/>
  <c r="Q7" i="6"/>
  <c r="P7" i="6"/>
  <c r="O7" i="6"/>
  <c r="N7" i="6"/>
  <c r="M7" i="6"/>
  <c r="L7" i="6"/>
  <c r="K7" i="6"/>
  <c r="J7" i="6"/>
  <c r="I7" i="6"/>
  <c r="H7" i="6"/>
  <c r="G7" i="6"/>
  <c r="F7" i="6"/>
  <c r="E7" i="6"/>
  <c r="D7" i="6"/>
  <c r="C7" i="6"/>
  <c r="B7" i="6"/>
  <c r="Q6" i="6"/>
  <c r="O6" i="6"/>
  <c r="N6" i="6"/>
  <c r="M6" i="6"/>
  <c r="L6" i="6"/>
  <c r="K6" i="6"/>
  <c r="J6" i="6"/>
  <c r="I6" i="6"/>
  <c r="H6" i="6"/>
  <c r="G6" i="6"/>
  <c r="F6" i="6"/>
  <c r="E6" i="6"/>
  <c r="D6" i="6"/>
  <c r="C6" i="6"/>
  <c r="B6" i="6"/>
  <c r="P5" i="6"/>
  <c r="O5" i="6"/>
  <c r="N5" i="6"/>
  <c r="M5" i="6"/>
  <c r="L5" i="6"/>
  <c r="K5" i="6"/>
  <c r="J5" i="6"/>
  <c r="I5" i="6"/>
  <c r="H5" i="6"/>
  <c r="G5" i="6"/>
  <c r="F5" i="6"/>
  <c r="E5" i="6"/>
  <c r="D5" i="6"/>
  <c r="C5" i="6"/>
  <c r="B5" i="6"/>
  <c r="Q4" i="6"/>
  <c r="P4" i="6"/>
  <c r="O4" i="6"/>
  <c r="N4" i="6"/>
  <c r="M4" i="6"/>
  <c r="L4" i="6"/>
  <c r="K4" i="6"/>
  <c r="J4" i="6"/>
  <c r="I4" i="6"/>
  <c r="H4" i="6"/>
  <c r="G4" i="6"/>
  <c r="F4" i="6"/>
  <c r="E4" i="6"/>
  <c r="D4" i="6"/>
  <c r="C4" i="6"/>
  <c r="B4" i="6"/>
  <c r="H11" i="18" l="1"/>
  <c r="J2" i="14"/>
  <c r="AA2" i="14"/>
  <c r="I11" i="18"/>
  <c r="F10" i="18"/>
  <c r="I2" i="1"/>
  <c r="AA2" i="1"/>
  <c r="G11" i="18"/>
  <c r="Y42" i="6"/>
  <c r="X42" i="6"/>
  <c r="Y41" i="6"/>
  <c r="X41" i="6"/>
  <c r="Y40" i="6"/>
  <c r="X40" i="6"/>
  <c r="Y39" i="6"/>
  <c r="X39" i="6"/>
  <c r="Y38" i="6"/>
  <c r="Q42" i="6" s="1"/>
  <c r="Q17" i="6" s="1"/>
  <c r="X38" i="6"/>
  <c r="P41" i="6" s="1"/>
  <c r="P16" i="6" s="1"/>
  <c r="Y37" i="6"/>
  <c r="X37" i="6"/>
  <c r="Y36" i="6"/>
  <c r="X36" i="6"/>
  <c r="Y35" i="6"/>
  <c r="X35" i="6"/>
  <c r="Y34" i="6"/>
  <c r="X34" i="6"/>
  <c r="Y33" i="6"/>
  <c r="X33" i="6"/>
  <c r="Y32" i="6"/>
  <c r="X32" i="6"/>
  <c r="Y31" i="6"/>
  <c r="X31" i="6"/>
  <c r="Y30" i="6"/>
  <c r="X30" i="6"/>
  <c r="Y29" i="6"/>
  <c r="X29" i="6"/>
  <c r="T43" i="6"/>
  <c r="S43" i="6"/>
  <c r="Q41" i="6" l="1"/>
  <c r="Q16" i="6" s="1"/>
  <c r="J2" i="1"/>
  <c r="F11" i="18"/>
  <c r="I12" i="18"/>
  <c r="AB2" i="14"/>
  <c r="Q39" i="6"/>
  <c r="Q14" i="6" s="1"/>
  <c r="Q40" i="6"/>
  <c r="Q15" i="6" s="1"/>
  <c r="K2" i="14"/>
  <c r="H12" i="18"/>
  <c r="AB2" i="1"/>
  <c r="G12" i="18"/>
  <c r="P39" i="6"/>
  <c r="P14" i="6" s="1"/>
  <c r="P40" i="6"/>
  <c r="P15" i="6" s="1"/>
  <c r="P42" i="6"/>
  <c r="P17" i="6" s="1"/>
  <c r="AT2" i="1"/>
  <c r="H34" i="3"/>
  <c r="H19" i="3"/>
  <c r="F12" i="18" l="1"/>
  <c r="K2" i="1"/>
  <c r="I13" i="18"/>
  <c r="AC2" i="14"/>
  <c r="H13" i="18"/>
  <c r="L2" i="14"/>
  <c r="G13" i="18"/>
  <c r="AC2" i="1"/>
  <c r="B4" i="14"/>
  <c r="B4" i="1"/>
  <c r="M5" i="13"/>
  <c r="E5" i="13"/>
  <c r="F30" i="3"/>
  <c r="F18" i="3"/>
  <c r="H14" i="18" l="1"/>
  <c r="M2" i="14"/>
  <c r="AD2" i="14"/>
  <c r="I14" i="18"/>
  <c r="F13" i="18"/>
  <c r="L2" i="1"/>
  <c r="G14" i="18"/>
  <c r="AD2" i="1"/>
  <c r="F20" i="3"/>
  <c r="B17" i="14"/>
  <c r="B17" i="1"/>
  <c r="AE2" i="14" l="1"/>
  <c r="I15" i="18"/>
  <c r="I16" i="18" s="1"/>
  <c r="I17" i="18" s="1"/>
  <c r="I18" i="18" s="1"/>
  <c r="M2" i="1"/>
  <c r="F14" i="18"/>
  <c r="N2" i="14"/>
  <c r="H15" i="18"/>
  <c r="H16" i="18" s="1"/>
  <c r="H17" i="18" s="1"/>
  <c r="H18" i="18" s="1"/>
  <c r="AE2" i="1"/>
  <c r="G15" i="18"/>
  <c r="G16" i="18" s="1"/>
  <c r="G17" i="18" s="1"/>
  <c r="G18" i="18" s="1"/>
  <c r="B3" i="1"/>
  <c r="B3" i="14"/>
  <c r="F32" i="3"/>
  <c r="F15" i="18" l="1"/>
  <c r="F16" i="18" s="1"/>
  <c r="F17" i="18" s="1"/>
  <c r="F18" i="18" s="1"/>
  <c r="N2" i="1"/>
  <c r="D30" i="10"/>
  <c r="D56" i="10"/>
  <c r="D43" i="10"/>
  <c r="C30" i="10" l="1"/>
  <c r="E11" i="3"/>
  <c r="AL5" i="14"/>
  <c r="AL6" i="14" s="1"/>
  <c r="AL7" i="14" s="1"/>
  <c r="AL8" i="14" s="1"/>
  <c r="AL9" i="14" s="1"/>
  <c r="AL10" i="14" s="1"/>
  <c r="AL11" i="14" s="1"/>
  <c r="AL12" i="14" s="1"/>
  <c r="AL13" i="14" s="1"/>
  <c r="AL14" i="14" s="1"/>
  <c r="AL15" i="14" s="1"/>
  <c r="AL16" i="14" s="1"/>
  <c r="AL17" i="14" s="1"/>
  <c r="AL18" i="14" s="1"/>
  <c r="AL19" i="14" s="1"/>
  <c r="AL20" i="14" s="1"/>
  <c r="AL21" i="14" s="1"/>
  <c r="AL22" i="14" s="1"/>
  <c r="AL23" i="14" s="1"/>
  <c r="AL24" i="14" s="1"/>
  <c r="AL25" i="14" s="1"/>
  <c r="AL26" i="14" s="1"/>
  <c r="AL27" i="14" s="1"/>
  <c r="AL28" i="14" s="1"/>
  <c r="AL29" i="14" s="1"/>
  <c r="AL30" i="14" s="1"/>
  <c r="AL31" i="14" s="1"/>
  <c r="AL32" i="14" s="1"/>
  <c r="AL33" i="14" s="1"/>
  <c r="AL34" i="14" s="1"/>
  <c r="AL35" i="14" s="1"/>
  <c r="AL36" i="14" s="1"/>
  <c r="AL37" i="14" s="1"/>
  <c r="AL38" i="14" s="1"/>
  <c r="AL39" i="14" s="1"/>
  <c r="AL40" i="14" s="1"/>
  <c r="AL5" i="1"/>
  <c r="AL6" i="1" s="1"/>
  <c r="AL7" i="1" s="1"/>
  <c r="AL8" i="1" s="1"/>
  <c r="AL9" i="1" s="1"/>
  <c r="AL10" i="1" s="1"/>
  <c r="AL11" i="1" s="1"/>
  <c r="AL12" i="1" s="1"/>
  <c r="AL13" i="1" s="1"/>
  <c r="AL14" i="1" s="1"/>
  <c r="AL15" i="1" s="1"/>
  <c r="AL16" i="1" s="1"/>
  <c r="AL17" i="1" s="1"/>
  <c r="AL18" i="1" s="1"/>
  <c r="AL19" i="1" s="1"/>
  <c r="AL20" i="1" s="1"/>
  <c r="AL21" i="1" s="1"/>
  <c r="AL22" i="1" s="1"/>
  <c r="AL23" i="1" s="1"/>
  <c r="AL24" i="1" s="1"/>
  <c r="AL25" i="1" s="1"/>
  <c r="AL26" i="1" s="1"/>
  <c r="AL27" i="1" s="1"/>
  <c r="AL28" i="1" s="1"/>
  <c r="AL29" i="1" s="1"/>
  <c r="AL30" i="1" s="1"/>
  <c r="AL31" i="1" s="1"/>
  <c r="AL32" i="1" s="1"/>
  <c r="AL33" i="1" s="1"/>
  <c r="AL34" i="1" s="1"/>
  <c r="AL35" i="1" s="1"/>
  <c r="AL36" i="1" s="1"/>
  <c r="AL37" i="1" s="1"/>
  <c r="AL38" i="1" s="1"/>
  <c r="AL39" i="1" s="1"/>
  <c r="AL40" i="1" s="1"/>
  <c r="S54" i="1"/>
  <c r="S53" i="1"/>
  <c r="S52" i="1"/>
  <c r="S51" i="1"/>
  <c r="S50" i="1"/>
  <c r="S49" i="1"/>
  <c r="S48" i="1"/>
  <c r="S47" i="1"/>
  <c r="S46" i="1"/>
  <c r="S45" i="1"/>
  <c r="S44" i="1"/>
  <c r="S43" i="1"/>
  <c r="C43" i="10" l="1"/>
  <c r="AR2" i="14" l="1"/>
  <c r="AS2" i="14"/>
  <c r="AQ2" i="14"/>
  <c r="AP2" i="14"/>
  <c r="AO2" i="14"/>
  <c r="AN2" i="14"/>
  <c r="M3" i="13"/>
  <c r="M4" i="13"/>
  <c r="E4" i="13"/>
  <c r="E3" i="13"/>
  <c r="P19" i="13" l="1"/>
  <c r="P34" i="13"/>
  <c r="P49" i="13"/>
  <c r="I49" i="13"/>
  <c r="I34" i="13"/>
  <c r="I19" i="13"/>
  <c r="V40" i="14"/>
  <c r="V39" i="14"/>
  <c r="V38" i="14"/>
  <c r="V37" i="14"/>
  <c r="V36" i="14"/>
  <c r="V35" i="14"/>
  <c r="V34" i="14"/>
  <c r="V33" i="14"/>
  <c r="V32" i="14"/>
  <c r="V31" i="14"/>
  <c r="V30" i="14"/>
  <c r="V29" i="14"/>
  <c r="V28" i="14"/>
  <c r="V27" i="14"/>
  <c r="V26" i="14"/>
  <c r="V25" i="14"/>
  <c r="V24" i="14"/>
  <c r="V23" i="14"/>
  <c r="V22" i="14"/>
  <c r="V21" i="14"/>
  <c r="V20" i="14"/>
  <c r="V19" i="14"/>
  <c r="V18" i="14"/>
  <c r="V17" i="14"/>
  <c r="V16" i="14"/>
  <c r="V15" i="14"/>
  <c r="V14" i="14"/>
  <c r="V13" i="14"/>
  <c r="V12" i="14"/>
  <c r="V11" i="14"/>
  <c r="V10" i="14"/>
  <c r="V9" i="14"/>
  <c r="V8" i="14"/>
  <c r="V7" i="14"/>
  <c r="V6" i="14"/>
  <c r="AI5" i="14"/>
  <c r="AH5" i="14"/>
  <c r="AI6" i="14" s="1"/>
  <c r="AG5" i="14"/>
  <c r="AH6" i="14" s="1"/>
  <c r="AI7" i="14" s="1"/>
  <c r="AF5" i="14"/>
  <c r="AG6" i="14" s="1"/>
  <c r="AH7" i="14" s="1"/>
  <c r="AI8" i="14" s="1"/>
  <c r="AE5" i="14"/>
  <c r="AF6" i="14" s="1"/>
  <c r="AG7" i="14" s="1"/>
  <c r="AH8" i="14" s="1"/>
  <c r="AI9" i="14" s="1"/>
  <c r="AD5" i="14"/>
  <c r="AE6" i="14" s="1"/>
  <c r="AF7" i="14" s="1"/>
  <c r="AG8" i="14" s="1"/>
  <c r="AH9" i="14" s="1"/>
  <c r="AI10" i="14" s="1"/>
  <c r="AC5" i="14"/>
  <c r="AD6" i="14" s="1"/>
  <c r="AE7" i="14" s="1"/>
  <c r="AF8" i="14" s="1"/>
  <c r="AG9" i="14" s="1"/>
  <c r="AH10" i="14" s="1"/>
  <c r="AI11" i="14" s="1"/>
  <c r="AB5" i="14"/>
  <c r="AC6" i="14" s="1"/>
  <c r="AD7" i="14" s="1"/>
  <c r="AE8" i="14" s="1"/>
  <c r="AF9" i="14" s="1"/>
  <c r="AG10" i="14" s="1"/>
  <c r="AH11" i="14" s="1"/>
  <c r="AI12" i="14" s="1"/>
  <c r="AA5" i="14"/>
  <c r="AB6" i="14" s="1"/>
  <c r="AC7" i="14" s="1"/>
  <c r="AD8" i="14" s="1"/>
  <c r="AE9" i="14" s="1"/>
  <c r="AF10" i="14" s="1"/>
  <c r="AG11" i="14" s="1"/>
  <c r="AH12" i="14" s="1"/>
  <c r="AI13" i="14" s="1"/>
  <c r="Z5" i="14"/>
  <c r="AA6" i="14" s="1"/>
  <c r="AB7" i="14" s="1"/>
  <c r="AC8" i="14" s="1"/>
  <c r="AD9" i="14" s="1"/>
  <c r="AE10" i="14" s="1"/>
  <c r="AF11" i="14" s="1"/>
  <c r="AG12" i="14" s="1"/>
  <c r="AH13" i="14" s="1"/>
  <c r="AI14" i="14" s="1"/>
  <c r="Y5" i="14"/>
  <c r="Z6" i="14" s="1"/>
  <c r="AA7" i="14" s="1"/>
  <c r="AB8" i="14" s="1"/>
  <c r="AC9" i="14" s="1"/>
  <c r="AD10" i="14" s="1"/>
  <c r="AE11" i="14" s="1"/>
  <c r="AF12" i="14" s="1"/>
  <c r="AG13" i="14" s="1"/>
  <c r="AH14" i="14" s="1"/>
  <c r="AI15" i="14" s="1"/>
  <c r="X5" i="14"/>
  <c r="Y6" i="14" s="1"/>
  <c r="Z7" i="14" s="1"/>
  <c r="AA8" i="14" s="1"/>
  <c r="AB9" i="14" s="1"/>
  <c r="AC10" i="14" s="1"/>
  <c r="AD11" i="14" s="1"/>
  <c r="AE12" i="14" s="1"/>
  <c r="AF13" i="14" s="1"/>
  <c r="AG14" i="14" s="1"/>
  <c r="AH15" i="14" s="1"/>
  <c r="AI16" i="14" s="1"/>
  <c r="W5" i="14"/>
  <c r="X6" i="14" s="1"/>
  <c r="Y7" i="14" s="1"/>
  <c r="Z8" i="14" s="1"/>
  <c r="AA9" i="14" s="1"/>
  <c r="AB10" i="14" s="1"/>
  <c r="AC11" i="14" s="1"/>
  <c r="AD12" i="14" s="1"/>
  <c r="AE13" i="14" s="1"/>
  <c r="AF14" i="14" s="1"/>
  <c r="AG15" i="14" s="1"/>
  <c r="AH16" i="14" s="1"/>
  <c r="AI17" i="14" s="1"/>
  <c r="V5"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R5" i="14"/>
  <c r="Q5" i="14"/>
  <c r="R6" i="14" s="1"/>
  <c r="P5" i="14"/>
  <c r="Q6" i="14" s="1"/>
  <c r="R7" i="14" s="1"/>
  <c r="O5" i="14"/>
  <c r="P6" i="14" s="1"/>
  <c r="Q7" i="14" s="1"/>
  <c r="R8" i="14" s="1"/>
  <c r="N5" i="14"/>
  <c r="O6" i="14" s="1"/>
  <c r="P7" i="14" s="1"/>
  <c r="Q8" i="14" s="1"/>
  <c r="R9" i="14" s="1"/>
  <c r="M5" i="14"/>
  <c r="N6" i="14" s="1"/>
  <c r="O7" i="14" s="1"/>
  <c r="P8" i="14" s="1"/>
  <c r="Q9" i="14" s="1"/>
  <c r="R10" i="14" s="1"/>
  <c r="L5" i="14"/>
  <c r="M6" i="14" s="1"/>
  <c r="N7" i="14" s="1"/>
  <c r="O8" i="14" s="1"/>
  <c r="P9" i="14" s="1"/>
  <c r="Q10" i="14" s="1"/>
  <c r="R11" i="14" s="1"/>
  <c r="K5" i="14"/>
  <c r="L6" i="14" s="1"/>
  <c r="M7" i="14" s="1"/>
  <c r="N8" i="14" s="1"/>
  <c r="O9" i="14" s="1"/>
  <c r="P10" i="14" s="1"/>
  <c r="Q11" i="14" s="1"/>
  <c r="R12" i="14" s="1"/>
  <c r="J5" i="14"/>
  <c r="K6" i="14" s="1"/>
  <c r="L7" i="14" s="1"/>
  <c r="M8" i="14" s="1"/>
  <c r="N9" i="14" s="1"/>
  <c r="O10" i="14" s="1"/>
  <c r="P11" i="14" s="1"/>
  <c r="Q12" i="14" s="1"/>
  <c r="R13" i="14" s="1"/>
  <c r="I5" i="14"/>
  <c r="J6" i="14" s="1"/>
  <c r="K7" i="14" s="1"/>
  <c r="L8" i="14" s="1"/>
  <c r="M9" i="14" s="1"/>
  <c r="N10" i="14" s="1"/>
  <c r="O11" i="14" s="1"/>
  <c r="P12" i="14" s="1"/>
  <c r="Q13" i="14" s="1"/>
  <c r="R14" i="14" s="1"/>
  <c r="H5" i="14"/>
  <c r="I6" i="14" s="1"/>
  <c r="J7" i="14" s="1"/>
  <c r="K8" i="14" s="1"/>
  <c r="L9" i="14" s="1"/>
  <c r="M10" i="14" s="1"/>
  <c r="N11" i="14" s="1"/>
  <c r="O12" i="14" s="1"/>
  <c r="P13" i="14" s="1"/>
  <c r="Q14" i="14" s="1"/>
  <c r="R15" i="14" s="1"/>
  <c r="G5" i="14"/>
  <c r="H6" i="14" s="1"/>
  <c r="I7" i="14" s="1"/>
  <c r="J8" i="14" s="1"/>
  <c r="K9" i="14" s="1"/>
  <c r="L10" i="14" s="1"/>
  <c r="M11" i="14" s="1"/>
  <c r="N12" i="14" s="1"/>
  <c r="O13" i="14" s="1"/>
  <c r="P14" i="14" s="1"/>
  <c r="Q15" i="14" s="1"/>
  <c r="R16" i="14" s="1"/>
  <c r="F5" i="14"/>
  <c r="G6" i="14" s="1"/>
  <c r="H7" i="14" s="1"/>
  <c r="I8" i="14" s="1"/>
  <c r="J9" i="14" s="1"/>
  <c r="K10" i="14" s="1"/>
  <c r="L11" i="14" s="1"/>
  <c r="M12" i="14" s="1"/>
  <c r="N13" i="14" s="1"/>
  <c r="O14" i="14" s="1"/>
  <c r="P15" i="14" s="1"/>
  <c r="Q16" i="14" s="1"/>
  <c r="R17" i="14" s="1"/>
  <c r="E5" i="14"/>
  <c r="AS2" i="1"/>
  <c r="AR2" i="1"/>
  <c r="AQ2" i="1"/>
  <c r="AP2" i="1"/>
  <c r="AO2" i="1"/>
  <c r="AN2"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W18" i="1"/>
  <c r="X19" i="1" s="1"/>
  <c r="W37" i="1"/>
  <c r="X38" i="1" s="1"/>
  <c r="Y39" i="1" s="1"/>
  <c r="Z40" i="1" s="1"/>
  <c r="AB5" i="1"/>
  <c r="AC6" i="1" s="1"/>
  <c r="AD7" i="1" s="1"/>
  <c r="AE8" i="1" s="1"/>
  <c r="AF9" i="1" s="1"/>
  <c r="AG10" i="1" s="1"/>
  <c r="AH11" i="1" s="1"/>
  <c r="AI12" i="1" s="1"/>
  <c r="A7" i="13"/>
  <c r="B13" i="4"/>
  <c r="C13" i="4"/>
  <c r="B14" i="4"/>
  <c r="C14" i="4"/>
  <c r="B15" i="4"/>
  <c r="C15" i="4"/>
  <c r="B16" i="4"/>
  <c r="C16" i="4"/>
  <c r="B17" i="4"/>
  <c r="C17" i="4"/>
  <c r="B18" i="4"/>
  <c r="C18" i="4"/>
  <c r="B19" i="4"/>
  <c r="C19" i="4"/>
  <c r="B20" i="4"/>
  <c r="C20" i="4"/>
  <c r="B21" i="4"/>
  <c r="C21" i="4"/>
  <c r="I56" i="10"/>
  <c r="H56" i="10"/>
  <c r="C56" i="10"/>
  <c r="I43" i="10"/>
  <c r="H43" i="10"/>
  <c r="I30" i="10"/>
  <c r="H30" i="10"/>
  <c r="D17" i="10"/>
  <c r="C17" i="10"/>
  <c r="I17" i="10"/>
  <c r="B5" i="14" s="1"/>
  <c r="H17" i="10"/>
  <c r="B6" i="14" s="1"/>
  <c r="W22" i="1" l="1"/>
  <c r="X23" i="1" s="1"/>
  <c r="Y24" i="1" s="1"/>
  <c r="Z25" i="1" s="1"/>
  <c r="AA26" i="1" s="1"/>
  <c r="AB27" i="1" s="1"/>
  <c r="AC28" i="1" s="1"/>
  <c r="AD29" i="1" s="1"/>
  <c r="AE30" i="1" s="1"/>
  <c r="AF31" i="1" s="1"/>
  <c r="AG32" i="1" s="1"/>
  <c r="AH33" i="1" s="1"/>
  <c r="AI34" i="1" s="1"/>
  <c r="W9" i="1"/>
  <c r="X10" i="1" s="1"/>
  <c r="Y11" i="1" s="1"/>
  <c r="Z12" i="1" s="1"/>
  <c r="AA13" i="1" s="1"/>
  <c r="AB14" i="1" s="1"/>
  <c r="AC15" i="1" s="1"/>
  <c r="AD16" i="1" s="1"/>
  <c r="AE17" i="1" s="1"/>
  <c r="AF18" i="1" s="1"/>
  <c r="AG19" i="1" s="1"/>
  <c r="AH20" i="1" s="1"/>
  <c r="AI21" i="1" s="1"/>
  <c r="F9" i="14"/>
  <c r="G10" i="14" s="1"/>
  <c r="H11" i="14" s="1"/>
  <c r="I12" i="14" s="1"/>
  <c r="J13" i="14" s="1"/>
  <c r="K14" i="14" s="1"/>
  <c r="L15" i="14" s="1"/>
  <c r="M16" i="14" s="1"/>
  <c r="N17" i="14" s="1"/>
  <c r="O18" i="14" s="1"/>
  <c r="P19" i="14" s="1"/>
  <c r="Q20" i="14" s="1"/>
  <c r="R21" i="14" s="1"/>
  <c r="F17" i="14"/>
  <c r="G18" i="14" s="1"/>
  <c r="H19" i="14" s="1"/>
  <c r="I20" i="14" s="1"/>
  <c r="J21" i="14" s="1"/>
  <c r="K22" i="14" s="1"/>
  <c r="L23" i="14" s="1"/>
  <c r="M24" i="14" s="1"/>
  <c r="N25" i="14" s="1"/>
  <c r="O26" i="14" s="1"/>
  <c r="P27" i="14" s="1"/>
  <c r="Q28" i="14" s="1"/>
  <c r="R29" i="14" s="1"/>
  <c r="W32" i="14"/>
  <c r="X33" i="14" s="1"/>
  <c r="Y34" i="14" s="1"/>
  <c r="Z35" i="14" s="1"/>
  <c r="AA36" i="14" s="1"/>
  <c r="AB37" i="14" s="1"/>
  <c r="AC38" i="14" s="1"/>
  <c r="AD39" i="14" s="1"/>
  <c r="AE40" i="14" s="1"/>
  <c r="W12" i="1"/>
  <c r="X13" i="1" s="1"/>
  <c r="Y14" i="1" s="1"/>
  <c r="Z15" i="1" s="1"/>
  <c r="AA16" i="1" s="1"/>
  <c r="AB17" i="1" s="1"/>
  <c r="AC18" i="1" s="1"/>
  <c r="AD19" i="1" s="1"/>
  <c r="AE20" i="1" s="1"/>
  <c r="AF21" i="1" s="1"/>
  <c r="AG22" i="1" s="1"/>
  <c r="AH23" i="1" s="1"/>
  <c r="AI24" i="1" s="1"/>
  <c r="W20" i="1"/>
  <c r="X21" i="1" s="1"/>
  <c r="Y22" i="1" s="1"/>
  <c r="Z23" i="1" s="1"/>
  <c r="AA24" i="1" s="1"/>
  <c r="AB25" i="1" s="1"/>
  <c r="AC26" i="1" s="1"/>
  <c r="AD27" i="1" s="1"/>
  <c r="AE28" i="1" s="1"/>
  <c r="AF29" i="1" s="1"/>
  <c r="AG30" i="1" s="1"/>
  <c r="AH31" i="1" s="1"/>
  <c r="AI32" i="1" s="1"/>
  <c r="W28" i="1"/>
  <c r="X29" i="1" s="1"/>
  <c r="Y30" i="1" s="1"/>
  <c r="Z31" i="1" s="1"/>
  <c r="AA32" i="1" s="1"/>
  <c r="AB33" i="1" s="1"/>
  <c r="AC34" i="1" s="1"/>
  <c r="AD35" i="1" s="1"/>
  <c r="AE36" i="1" s="1"/>
  <c r="AF37" i="1" s="1"/>
  <c r="AG38" i="1" s="1"/>
  <c r="AH39" i="1" s="1"/>
  <c r="AI40" i="1" s="1"/>
  <c r="W36" i="1"/>
  <c r="X37" i="1" s="1"/>
  <c r="Y38" i="1" s="1"/>
  <c r="Z39" i="1" s="1"/>
  <c r="AA40" i="1" s="1"/>
  <c r="AJ5" i="14"/>
  <c r="W9" i="14"/>
  <c r="X10" i="14" s="1"/>
  <c r="Y11" i="14" s="1"/>
  <c r="Z12" i="14" s="1"/>
  <c r="AA13" i="14" s="1"/>
  <c r="AB14" i="14" s="1"/>
  <c r="AC15" i="14" s="1"/>
  <c r="AD16" i="14" s="1"/>
  <c r="AE17" i="14" s="1"/>
  <c r="AF18" i="14" s="1"/>
  <c r="AG19" i="14" s="1"/>
  <c r="AH20" i="14" s="1"/>
  <c r="AI21" i="14" s="1"/>
  <c r="W17" i="14"/>
  <c r="X18" i="14" s="1"/>
  <c r="Y19" i="14" s="1"/>
  <c r="Z20" i="14" s="1"/>
  <c r="AA21" i="14" s="1"/>
  <c r="AB22" i="14" s="1"/>
  <c r="AC23" i="14" s="1"/>
  <c r="AD24" i="14" s="1"/>
  <c r="AE25" i="14" s="1"/>
  <c r="AF26" i="14" s="1"/>
  <c r="AG27" i="14" s="1"/>
  <c r="AH28" i="14" s="1"/>
  <c r="AI29" i="14" s="1"/>
  <c r="W33" i="14"/>
  <c r="X34" i="14" s="1"/>
  <c r="Y35" i="14" s="1"/>
  <c r="Z36" i="14" s="1"/>
  <c r="AA37" i="14" s="1"/>
  <c r="AB38" i="14" s="1"/>
  <c r="AC39" i="14" s="1"/>
  <c r="AD40" i="14" s="1"/>
  <c r="W38" i="1"/>
  <c r="X39" i="1" s="1"/>
  <c r="Y40" i="1" s="1"/>
  <c r="W17" i="1"/>
  <c r="X18" i="1" s="1"/>
  <c r="Y19" i="1" s="1"/>
  <c r="Z20" i="1" s="1"/>
  <c r="AA21" i="1" s="1"/>
  <c r="AB22" i="1" s="1"/>
  <c r="AC23" i="1" s="1"/>
  <c r="AD24" i="1" s="1"/>
  <c r="AE25" i="1" s="1"/>
  <c r="AF26" i="1" s="1"/>
  <c r="AG27" i="1" s="1"/>
  <c r="AH28" i="1" s="1"/>
  <c r="AI29" i="1" s="1"/>
  <c r="W25" i="1"/>
  <c r="X26" i="1" s="1"/>
  <c r="Y27" i="1" s="1"/>
  <c r="Z28" i="1" s="1"/>
  <c r="AA29" i="1" s="1"/>
  <c r="AB30" i="1" s="1"/>
  <c r="AC31" i="1" s="1"/>
  <c r="AD32" i="1" s="1"/>
  <c r="AE33" i="1" s="1"/>
  <c r="AF34" i="1" s="1"/>
  <c r="AG35" i="1" s="1"/>
  <c r="AH36" i="1" s="1"/>
  <c r="AI37" i="1" s="1"/>
  <c r="W33" i="1"/>
  <c r="X34" i="1" s="1"/>
  <c r="Y35" i="1" s="1"/>
  <c r="Z36" i="1" s="1"/>
  <c r="AA37" i="1" s="1"/>
  <c r="AB38" i="1" s="1"/>
  <c r="AC39" i="1" s="1"/>
  <c r="AD40" i="1" s="1"/>
  <c r="W11" i="1"/>
  <c r="X12" i="1" s="1"/>
  <c r="Y13" i="1" s="1"/>
  <c r="Z14" i="1" s="1"/>
  <c r="AA15" i="1" s="1"/>
  <c r="AB16" i="1" s="1"/>
  <c r="AC17" i="1" s="1"/>
  <c r="AD18" i="1" s="1"/>
  <c r="AE19" i="1" s="1"/>
  <c r="AF20" i="1" s="1"/>
  <c r="AG21" i="1" s="1"/>
  <c r="AH22" i="1" s="1"/>
  <c r="AI23" i="1" s="1"/>
  <c r="W19" i="1"/>
  <c r="X20" i="1" s="1"/>
  <c r="Y21" i="1" s="1"/>
  <c r="Z22" i="1" s="1"/>
  <c r="AA23" i="1" s="1"/>
  <c r="AB24" i="1" s="1"/>
  <c r="AC25" i="1" s="1"/>
  <c r="AD26" i="1" s="1"/>
  <c r="AE27" i="1" s="1"/>
  <c r="AF28" i="1" s="1"/>
  <c r="AG29" i="1" s="1"/>
  <c r="AH30" i="1" s="1"/>
  <c r="AI31" i="1" s="1"/>
  <c r="W27" i="1"/>
  <c r="X28" i="1" s="1"/>
  <c r="Y29" i="1" s="1"/>
  <c r="Z30" i="1" s="1"/>
  <c r="AA31" i="1" s="1"/>
  <c r="AB32" i="1" s="1"/>
  <c r="AC33" i="1" s="1"/>
  <c r="AD34" i="1" s="1"/>
  <c r="AE35" i="1" s="1"/>
  <c r="AF36" i="1" s="1"/>
  <c r="AG37" i="1" s="1"/>
  <c r="AH38" i="1" s="1"/>
  <c r="AI39" i="1" s="1"/>
  <c r="W35" i="1"/>
  <c r="X36" i="1" s="1"/>
  <c r="Y37" i="1" s="1"/>
  <c r="Z38" i="1" s="1"/>
  <c r="AA39" i="1" s="1"/>
  <c r="AB40" i="1" s="1"/>
  <c r="S5" i="14"/>
  <c r="W8" i="14"/>
  <c r="X9" i="14" s="1"/>
  <c r="Y10" i="14" s="1"/>
  <c r="Z11" i="14" s="1"/>
  <c r="AA12" i="14" s="1"/>
  <c r="AB13" i="14" s="1"/>
  <c r="AC14" i="14" s="1"/>
  <c r="AD15" i="14" s="1"/>
  <c r="AE16" i="14" s="1"/>
  <c r="AF17" i="14" s="1"/>
  <c r="AG18" i="14" s="1"/>
  <c r="AH19" i="14" s="1"/>
  <c r="AI20" i="14" s="1"/>
  <c r="W16" i="14"/>
  <c r="X17" i="14" s="1"/>
  <c r="Y18" i="14" s="1"/>
  <c r="Z19" i="14" s="1"/>
  <c r="AA20" i="14" s="1"/>
  <c r="AB21" i="14" s="1"/>
  <c r="AC22" i="14" s="1"/>
  <c r="AD23" i="14" s="1"/>
  <c r="AE24" i="14" s="1"/>
  <c r="AF25" i="14" s="1"/>
  <c r="AG26" i="14" s="1"/>
  <c r="AH27" i="14" s="1"/>
  <c r="AI28" i="14" s="1"/>
  <c r="W40" i="14"/>
  <c r="W13" i="1"/>
  <c r="X14" i="1" s="1"/>
  <c r="Y15" i="1" s="1"/>
  <c r="Z16" i="1" s="1"/>
  <c r="AA17" i="1" s="1"/>
  <c r="AB18" i="1" s="1"/>
  <c r="AC19" i="1" s="1"/>
  <c r="AD20" i="1" s="1"/>
  <c r="AE21" i="1" s="1"/>
  <c r="AF22" i="1" s="1"/>
  <c r="AG23" i="1" s="1"/>
  <c r="AH24" i="1" s="1"/>
  <c r="AI25" i="1" s="1"/>
  <c r="W21" i="1"/>
  <c r="X22" i="1" s="1"/>
  <c r="Y23" i="1" s="1"/>
  <c r="Z24" i="1" s="1"/>
  <c r="AA25" i="1" s="1"/>
  <c r="AB26" i="1" s="1"/>
  <c r="AC27" i="1" s="1"/>
  <c r="AD28" i="1" s="1"/>
  <c r="AE29" i="1" s="1"/>
  <c r="AF30" i="1" s="1"/>
  <c r="AG31" i="1" s="1"/>
  <c r="AH32" i="1" s="1"/>
  <c r="AI33" i="1" s="1"/>
  <c r="W29" i="1"/>
  <c r="X30" i="1" s="1"/>
  <c r="Y31" i="1" s="1"/>
  <c r="Z32" i="1" s="1"/>
  <c r="AA33" i="1" s="1"/>
  <c r="AB34" i="1" s="1"/>
  <c r="AC35" i="1" s="1"/>
  <c r="AD36" i="1" s="1"/>
  <c r="AE37" i="1" s="1"/>
  <c r="AF38" i="1" s="1"/>
  <c r="AG39" i="1" s="1"/>
  <c r="AH40" i="1" s="1"/>
  <c r="W10" i="14"/>
  <c r="X11" i="14" s="1"/>
  <c r="Y12" i="14" s="1"/>
  <c r="Z13" i="14" s="1"/>
  <c r="AA14" i="14" s="1"/>
  <c r="AB15" i="14" s="1"/>
  <c r="AC16" i="14" s="1"/>
  <c r="AD17" i="14" s="1"/>
  <c r="AE18" i="14" s="1"/>
  <c r="AF19" i="14" s="1"/>
  <c r="AG20" i="14" s="1"/>
  <c r="AH21" i="14" s="1"/>
  <c r="AI22" i="14" s="1"/>
  <c r="W34" i="14"/>
  <c r="X35" i="14" s="1"/>
  <c r="Y36" i="14" s="1"/>
  <c r="Z37" i="14" s="1"/>
  <c r="AA38" i="14" s="1"/>
  <c r="AB39" i="14" s="1"/>
  <c r="AC40" i="14" s="1"/>
  <c r="W14" i="1"/>
  <c r="X15" i="1" s="1"/>
  <c r="Y16" i="1" s="1"/>
  <c r="Z17" i="1" s="1"/>
  <c r="AA18" i="1" s="1"/>
  <c r="AB19" i="1" s="1"/>
  <c r="AC20" i="1" s="1"/>
  <c r="AD21" i="1" s="1"/>
  <c r="AE22" i="1" s="1"/>
  <c r="AF23" i="1" s="1"/>
  <c r="AG24" i="1" s="1"/>
  <c r="AH25" i="1" s="1"/>
  <c r="AI26" i="1" s="1"/>
  <c r="F12" i="14"/>
  <c r="G13" i="14" s="1"/>
  <c r="H14" i="14" s="1"/>
  <c r="I15" i="14" s="1"/>
  <c r="J16" i="14" s="1"/>
  <c r="K17" i="14" s="1"/>
  <c r="L18" i="14" s="1"/>
  <c r="M19" i="14" s="1"/>
  <c r="N20" i="14" s="1"/>
  <c r="O21" i="14" s="1"/>
  <c r="P22" i="14" s="1"/>
  <c r="Q23" i="14" s="1"/>
  <c r="R24" i="14" s="1"/>
  <c r="W11" i="14"/>
  <c r="X12" i="14" s="1"/>
  <c r="Y13" i="14" s="1"/>
  <c r="Z14" i="14" s="1"/>
  <c r="AA15" i="14" s="1"/>
  <c r="AB16" i="14" s="1"/>
  <c r="AC17" i="14" s="1"/>
  <c r="AD18" i="14" s="1"/>
  <c r="AE19" i="14" s="1"/>
  <c r="AF20" i="14" s="1"/>
  <c r="AG21" i="14" s="1"/>
  <c r="AH22" i="14" s="1"/>
  <c r="AI23" i="14" s="1"/>
  <c r="W35" i="14"/>
  <c r="X36" i="14" s="1"/>
  <c r="Y37" i="14" s="1"/>
  <c r="Z38" i="14" s="1"/>
  <c r="AA39" i="14" s="1"/>
  <c r="AB40" i="14" s="1"/>
  <c r="W7" i="1"/>
  <c r="X8" i="1" s="1"/>
  <c r="Y9" i="1" s="1"/>
  <c r="Z10" i="1" s="1"/>
  <c r="AA11" i="1" s="1"/>
  <c r="AB12" i="1" s="1"/>
  <c r="AC13" i="1" s="1"/>
  <c r="AD14" i="1" s="1"/>
  <c r="AE15" i="1" s="1"/>
  <c r="AF16" i="1" s="1"/>
  <c r="AG17" i="1" s="1"/>
  <c r="AH18" i="1" s="1"/>
  <c r="AI19" i="1" s="1"/>
  <c r="W15" i="1"/>
  <c r="X16" i="1" s="1"/>
  <c r="Y17" i="1" s="1"/>
  <c r="Z18" i="1" s="1"/>
  <c r="AA19" i="1" s="1"/>
  <c r="AB20" i="1" s="1"/>
  <c r="AC21" i="1" s="1"/>
  <c r="AD22" i="1" s="1"/>
  <c r="AE23" i="1" s="1"/>
  <c r="AF24" i="1" s="1"/>
  <c r="AG25" i="1" s="1"/>
  <c r="AH26" i="1" s="1"/>
  <c r="AI27" i="1" s="1"/>
  <c r="W23" i="1"/>
  <c r="X24" i="1" s="1"/>
  <c r="Y25" i="1" s="1"/>
  <c r="Z26" i="1" s="1"/>
  <c r="AA27" i="1" s="1"/>
  <c r="AB28" i="1" s="1"/>
  <c r="AC29" i="1" s="1"/>
  <c r="AD30" i="1" s="1"/>
  <c r="AE31" i="1" s="1"/>
  <c r="AF32" i="1" s="1"/>
  <c r="AG33" i="1" s="1"/>
  <c r="AH34" i="1" s="1"/>
  <c r="AI35" i="1" s="1"/>
  <c r="W39" i="1"/>
  <c r="X40" i="1" s="1"/>
  <c r="W12" i="14"/>
  <c r="X13" i="14" s="1"/>
  <c r="Y14" i="14" s="1"/>
  <c r="Z15" i="14" s="1"/>
  <c r="AA16" i="14" s="1"/>
  <c r="AB17" i="14" s="1"/>
  <c r="AC18" i="14" s="1"/>
  <c r="AD19" i="14" s="1"/>
  <c r="AE20" i="14" s="1"/>
  <c r="AF21" i="14" s="1"/>
  <c r="AG22" i="14" s="1"/>
  <c r="AH23" i="14" s="1"/>
  <c r="AI24" i="14" s="1"/>
  <c r="W36" i="14"/>
  <c r="X37" i="14" s="1"/>
  <c r="Y38" i="14" s="1"/>
  <c r="Z39" i="14" s="1"/>
  <c r="AA40" i="14" s="1"/>
  <c r="W31" i="1"/>
  <c r="X32" i="1" s="1"/>
  <c r="Y33" i="1" s="1"/>
  <c r="Z34" i="1" s="1"/>
  <c r="AA35" i="1" s="1"/>
  <c r="AB36" i="1" s="1"/>
  <c r="AC37" i="1" s="1"/>
  <c r="AD38" i="1" s="1"/>
  <c r="AE39" i="1" s="1"/>
  <c r="AF40" i="1" s="1"/>
  <c r="W8" i="1"/>
  <c r="X9" i="1" s="1"/>
  <c r="Y10" i="1" s="1"/>
  <c r="Z11" i="1" s="1"/>
  <c r="AA12" i="1" s="1"/>
  <c r="AB13" i="1" s="1"/>
  <c r="AC14" i="1" s="1"/>
  <c r="AD15" i="1" s="1"/>
  <c r="AE16" i="1" s="1"/>
  <c r="AF17" i="1" s="1"/>
  <c r="AG18" i="1" s="1"/>
  <c r="AH19" i="1" s="1"/>
  <c r="AI20" i="1" s="1"/>
  <c r="W16" i="1"/>
  <c r="X17" i="1" s="1"/>
  <c r="Y18" i="1" s="1"/>
  <c r="Z19" i="1" s="1"/>
  <c r="AA20" i="1" s="1"/>
  <c r="AB21" i="1" s="1"/>
  <c r="AC22" i="1" s="1"/>
  <c r="AD23" i="1" s="1"/>
  <c r="AE24" i="1" s="1"/>
  <c r="AF25" i="1" s="1"/>
  <c r="AG26" i="1" s="1"/>
  <c r="AH27" i="1" s="1"/>
  <c r="AI28" i="1" s="1"/>
  <c r="W24" i="1"/>
  <c r="X25" i="1" s="1"/>
  <c r="Y26" i="1" s="1"/>
  <c r="Z27" i="1" s="1"/>
  <c r="AA28" i="1" s="1"/>
  <c r="AB29" i="1" s="1"/>
  <c r="AC30" i="1" s="1"/>
  <c r="AD31" i="1" s="1"/>
  <c r="AE32" i="1" s="1"/>
  <c r="AF33" i="1" s="1"/>
  <c r="AG34" i="1" s="1"/>
  <c r="AH35" i="1" s="1"/>
  <c r="AI36" i="1" s="1"/>
  <c r="W32" i="1"/>
  <c r="X33" i="1" s="1"/>
  <c r="Y34" i="1" s="1"/>
  <c r="Z35" i="1" s="1"/>
  <c r="AA36" i="1" s="1"/>
  <c r="AB37" i="1" s="1"/>
  <c r="AC38" i="1" s="1"/>
  <c r="AD39" i="1" s="1"/>
  <c r="AE40" i="1" s="1"/>
  <c r="W40" i="1"/>
  <c r="W13" i="14"/>
  <c r="X14" i="14" s="1"/>
  <c r="Y15" i="14" s="1"/>
  <c r="Z16" i="14" s="1"/>
  <c r="AA17" i="14" s="1"/>
  <c r="AB18" i="14" s="1"/>
  <c r="AC19" i="14" s="1"/>
  <c r="AD20" i="14" s="1"/>
  <c r="AE21" i="14" s="1"/>
  <c r="AF22" i="14" s="1"/>
  <c r="AG23" i="14" s="1"/>
  <c r="AH24" i="14" s="1"/>
  <c r="AI25" i="14" s="1"/>
  <c r="W37" i="14"/>
  <c r="X38" i="14" s="1"/>
  <c r="Y39" i="14" s="1"/>
  <c r="Z40" i="14" s="1"/>
  <c r="W38" i="14"/>
  <c r="X39" i="14" s="1"/>
  <c r="Y40" i="14" s="1"/>
  <c r="W30" i="1"/>
  <c r="X31" i="1" s="1"/>
  <c r="F7" i="14"/>
  <c r="G8" i="14" s="1"/>
  <c r="H9" i="14" s="1"/>
  <c r="I10" i="14" s="1"/>
  <c r="J11" i="14" s="1"/>
  <c r="K12" i="14" s="1"/>
  <c r="L13" i="14" s="1"/>
  <c r="M14" i="14" s="1"/>
  <c r="N15" i="14" s="1"/>
  <c r="O16" i="14" s="1"/>
  <c r="P17" i="14" s="1"/>
  <c r="Q18" i="14" s="1"/>
  <c r="R19" i="14" s="1"/>
  <c r="S6" i="14"/>
  <c r="F31" i="14"/>
  <c r="G32" i="14" s="1"/>
  <c r="H33" i="14" s="1"/>
  <c r="I34" i="14" s="1"/>
  <c r="J35" i="14" s="1"/>
  <c r="K36" i="14" s="1"/>
  <c r="L37" i="14" s="1"/>
  <c r="M38" i="14" s="1"/>
  <c r="N39" i="14" s="1"/>
  <c r="O40" i="14" s="1"/>
  <c r="W14" i="14"/>
  <c r="X15" i="14" s="1"/>
  <c r="Y16" i="14" s="1"/>
  <c r="Z17" i="14" s="1"/>
  <c r="AA18" i="14" s="1"/>
  <c r="AB19" i="14" s="1"/>
  <c r="AC20" i="14" s="1"/>
  <c r="AD21" i="14" s="1"/>
  <c r="AE22" i="14" s="1"/>
  <c r="AF23" i="14" s="1"/>
  <c r="AG24" i="14" s="1"/>
  <c r="AH25" i="14" s="1"/>
  <c r="AI26" i="14" s="1"/>
  <c r="W10" i="1"/>
  <c r="X11" i="1" s="1"/>
  <c r="Y12" i="1" s="1"/>
  <c r="Z13" i="1" s="1"/>
  <c r="AA14" i="1" s="1"/>
  <c r="AB15" i="1" s="1"/>
  <c r="AC16" i="1" s="1"/>
  <c r="AD17" i="1" s="1"/>
  <c r="AE18" i="1" s="1"/>
  <c r="AF19" i="1" s="1"/>
  <c r="AG20" i="1" s="1"/>
  <c r="AH21" i="1" s="1"/>
  <c r="AI22" i="1" s="1"/>
  <c r="W26" i="1"/>
  <c r="X27" i="1" s="1"/>
  <c r="Y28" i="1" s="1"/>
  <c r="Z29" i="1" s="1"/>
  <c r="AA30" i="1" s="1"/>
  <c r="AB31" i="1" s="1"/>
  <c r="AC32" i="1" s="1"/>
  <c r="AD33" i="1" s="1"/>
  <c r="AE34" i="1" s="1"/>
  <c r="AF35" i="1" s="1"/>
  <c r="AG36" i="1" s="1"/>
  <c r="AH37" i="1" s="1"/>
  <c r="AI38" i="1" s="1"/>
  <c r="W34" i="1"/>
  <c r="X35" i="1" s="1"/>
  <c r="Y36" i="1" s="1"/>
  <c r="Z37" i="1" s="1"/>
  <c r="AA38" i="1" s="1"/>
  <c r="AB39" i="1" s="1"/>
  <c r="AC40" i="1" s="1"/>
  <c r="W7" i="14"/>
  <c r="X8" i="14" s="1"/>
  <c r="Y9" i="14" s="1"/>
  <c r="Z10" i="14" s="1"/>
  <c r="AA11" i="14" s="1"/>
  <c r="AB12" i="14" s="1"/>
  <c r="AC13" i="14" s="1"/>
  <c r="AD14" i="14" s="1"/>
  <c r="AE15" i="14" s="1"/>
  <c r="AF16" i="14" s="1"/>
  <c r="AG17" i="14" s="1"/>
  <c r="AH18" i="14" s="1"/>
  <c r="AI19" i="14" s="1"/>
  <c r="W15" i="14"/>
  <c r="X16" i="14" s="1"/>
  <c r="Y17" i="14" s="1"/>
  <c r="Z18" i="14" s="1"/>
  <c r="AA19" i="14" s="1"/>
  <c r="AB20" i="14" s="1"/>
  <c r="AC21" i="14" s="1"/>
  <c r="AD22" i="14" s="1"/>
  <c r="AE23" i="14" s="1"/>
  <c r="AF24" i="14" s="1"/>
  <c r="AG25" i="14" s="1"/>
  <c r="AH26" i="14" s="1"/>
  <c r="AI27" i="14" s="1"/>
  <c r="W31" i="14"/>
  <c r="X32" i="14" s="1"/>
  <c r="Y33" i="14" s="1"/>
  <c r="Z34" i="14" s="1"/>
  <c r="AA35" i="14" s="1"/>
  <c r="AB36" i="14" s="1"/>
  <c r="AC37" i="14" s="1"/>
  <c r="AD38" i="14" s="1"/>
  <c r="AE39" i="14" s="1"/>
  <c r="AF40" i="14" s="1"/>
  <c r="W39" i="14"/>
  <c r="X40" i="14" s="1"/>
  <c r="Y32" i="1"/>
  <c r="Y20" i="1"/>
  <c r="AJ20" i="1" s="1"/>
  <c r="W6" i="14"/>
  <c r="AJ6" i="14" s="1"/>
  <c r="B7" i="14"/>
  <c r="B9" i="14" s="1"/>
  <c r="F22" i="14"/>
  <c r="G23" i="14" s="1"/>
  <c r="H24" i="14" s="1"/>
  <c r="I25" i="14" s="1"/>
  <c r="J26" i="14" s="1"/>
  <c r="K27" i="14" s="1"/>
  <c r="L28" i="14" s="1"/>
  <c r="M29" i="14" s="1"/>
  <c r="N30" i="14" s="1"/>
  <c r="O31" i="14" s="1"/>
  <c r="P32" i="14" s="1"/>
  <c r="Q33" i="14" s="1"/>
  <c r="R34" i="14" s="1"/>
  <c r="F26" i="14"/>
  <c r="G27" i="14" s="1"/>
  <c r="H28" i="14" s="1"/>
  <c r="I29" i="14" s="1"/>
  <c r="J30" i="14" s="1"/>
  <c r="K31" i="14" s="1"/>
  <c r="L32" i="14" s="1"/>
  <c r="M33" i="14" s="1"/>
  <c r="N34" i="14" s="1"/>
  <c r="O35" i="14" s="1"/>
  <c r="P36" i="14" s="1"/>
  <c r="Q37" i="14" s="1"/>
  <c r="R38" i="14" s="1"/>
  <c r="W21" i="14"/>
  <c r="X22" i="14" s="1"/>
  <c r="Y23" i="14" s="1"/>
  <c r="Z24" i="14" s="1"/>
  <c r="AA25" i="14" s="1"/>
  <c r="AB26" i="14" s="1"/>
  <c r="AC27" i="14" s="1"/>
  <c r="AD28" i="14" s="1"/>
  <c r="AE29" i="14" s="1"/>
  <c r="AF30" i="14" s="1"/>
  <c r="AG31" i="14" s="1"/>
  <c r="AH32" i="14" s="1"/>
  <c r="AI33" i="14" s="1"/>
  <c r="W25" i="14"/>
  <c r="X26" i="14" s="1"/>
  <c r="Y27" i="14" s="1"/>
  <c r="Z28" i="14" s="1"/>
  <c r="AA29" i="14" s="1"/>
  <c r="AB30" i="14" s="1"/>
  <c r="AC31" i="14" s="1"/>
  <c r="AD32" i="14" s="1"/>
  <c r="AE33" i="14" s="1"/>
  <c r="AF34" i="14" s="1"/>
  <c r="AG35" i="14" s="1"/>
  <c r="AH36" i="14" s="1"/>
  <c r="AI37" i="14" s="1"/>
  <c r="W29" i="14"/>
  <c r="X30" i="14" s="1"/>
  <c r="Y31" i="14" s="1"/>
  <c r="Z32" i="14" s="1"/>
  <c r="AA33" i="14" s="1"/>
  <c r="AB34" i="14" s="1"/>
  <c r="AC35" i="14" s="1"/>
  <c r="AD36" i="14" s="1"/>
  <c r="AE37" i="14" s="1"/>
  <c r="AF38" i="14" s="1"/>
  <c r="AG39" i="14" s="1"/>
  <c r="AH40" i="14" s="1"/>
  <c r="F19" i="14"/>
  <c r="G20" i="14" s="1"/>
  <c r="H21" i="14" s="1"/>
  <c r="I22" i="14" s="1"/>
  <c r="J23" i="14" s="1"/>
  <c r="K24" i="14" s="1"/>
  <c r="L25" i="14" s="1"/>
  <c r="M26" i="14" s="1"/>
  <c r="N27" i="14" s="1"/>
  <c r="O28" i="14" s="1"/>
  <c r="P29" i="14" s="1"/>
  <c r="Q30" i="14" s="1"/>
  <c r="R31" i="14" s="1"/>
  <c r="F23" i="14"/>
  <c r="G24" i="14" s="1"/>
  <c r="H25" i="14" s="1"/>
  <c r="I26" i="14" s="1"/>
  <c r="J27" i="14" s="1"/>
  <c r="K28" i="14" s="1"/>
  <c r="L29" i="14" s="1"/>
  <c r="M30" i="14" s="1"/>
  <c r="N31" i="14" s="1"/>
  <c r="O32" i="14" s="1"/>
  <c r="P33" i="14" s="1"/>
  <c r="Q34" i="14" s="1"/>
  <c r="R35" i="14" s="1"/>
  <c r="W18" i="14"/>
  <c r="X19" i="14" s="1"/>
  <c r="W22" i="14"/>
  <c r="X23" i="14" s="1"/>
  <c r="Y24" i="14" s="1"/>
  <c r="Z25" i="14" s="1"/>
  <c r="AA26" i="14" s="1"/>
  <c r="AB27" i="14" s="1"/>
  <c r="AC28" i="14" s="1"/>
  <c r="AD29" i="14" s="1"/>
  <c r="AE30" i="14" s="1"/>
  <c r="AF31" i="14" s="1"/>
  <c r="AG32" i="14" s="1"/>
  <c r="AH33" i="14" s="1"/>
  <c r="AI34" i="14" s="1"/>
  <c r="W26" i="14"/>
  <c r="X27" i="14" s="1"/>
  <c r="Y28" i="14" s="1"/>
  <c r="Z29" i="14" s="1"/>
  <c r="AA30" i="14" s="1"/>
  <c r="AB31" i="14" s="1"/>
  <c r="AC32" i="14" s="1"/>
  <c r="AD33" i="14" s="1"/>
  <c r="AE34" i="14" s="1"/>
  <c r="AF35" i="14" s="1"/>
  <c r="AG36" i="14" s="1"/>
  <c r="AH37" i="14" s="1"/>
  <c r="AI38" i="14" s="1"/>
  <c r="W30" i="14"/>
  <c r="F20" i="14"/>
  <c r="G21" i="14" s="1"/>
  <c r="H22" i="14" s="1"/>
  <c r="I23" i="14" s="1"/>
  <c r="J24" i="14" s="1"/>
  <c r="K25" i="14" s="1"/>
  <c r="L26" i="14" s="1"/>
  <c r="M27" i="14" s="1"/>
  <c r="N28" i="14" s="1"/>
  <c r="O29" i="14" s="1"/>
  <c r="P30" i="14" s="1"/>
  <c r="Q31" i="14" s="1"/>
  <c r="R32" i="14" s="1"/>
  <c r="F24" i="14"/>
  <c r="G25" i="14" s="1"/>
  <c r="H26" i="14" s="1"/>
  <c r="I27" i="14" s="1"/>
  <c r="J28" i="14" s="1"/>
  <c r="K29" i="14" s="1"/>
  <c r="L30" i="14" s="1"/>
  <c r="M31" i="14" s="1"/>
  <c r="N32" i="14" s="1"/>
  <c r="O33" i="14" s="1"/>
  <c r="P34" i="14" s="1"/>
  <c r="Q35" i="14" s="1"/>
  <c r="R36" i="14" s="1"/>
  <c r="W19" i="14"/>
  <c r="X20" i="14" s="1"/>
  <c r="Y21" i="14" s="1"/>
  <c r="Z22" i="14" s="1"/>
  <c r="AA23" i="14" s="1"/>
  <c r="AB24" i="14" s="1"/>
  <c r="AC25" i="14" s="1"/>
  <c r="AD26" i="14" s="1"/>
  <c r="AE27" i="14" s="1"/>
  <c r="AF28" i="14" s="1"/>
  <c r="AG29" i="14" s="1"/>
  <c r="AH30" i="14" s="1"/>
  <c r="AI31" i="14" s="1"/>
  <c r="W23" i="14"/>
  <c r="X24" i="14" s="1"/>
  <c r="Y25" i="14" s="1"/>
  <c r="Z26" i="14" s="1"/>
  <c r="AA27" i="14" s="1"/>
  <c r="AB28" i="14" s="1"/>
  <c r="AC29" i="14" s="1"/>
  <c r="AD30" i="14" s="1"/>
  <c r="AE31" i="14" s="1"/>
  <c r="AF32" i="14" s="1"/>
  <c r="AG33" i="14" s="1"/>
  <c r="AH34" i="14" s="1"/>
  <c r="AI35" i="14" s="1"/>
  <c r="W27" i="14"/>
  <c r="X28" i="14" s="1"/>
  <c r="Y29" i="14" s="1"/>
  <c r="Z30" i="14" s="1"/>
  <c r="AA31" i="14" s="1"/>
  <c r="AB32" i="14" s="1"/>
  <c r="AC33" i="14" s="1"/>
  <c r="AD34" i="14" s="1"/>
  <c r="AE35" i="14" s="1"/>
  <c r="AF36" i="14" s="1"/>
  <c r="AG37" i="14" s="1"/>
  <c r="AH38" i="14" s="1"/>
  <c r="AI39" i="14" s="1"/>
  <c r="F21" i="14"/>
  <c r="G22" i="14" s="1"/>
  <c r="H23" i="14" s="1"/>
  <c r="I24" i="14" s="1"/>
  <c r="J25" i="14" s="1"/>
  <c r="K26" i="14" s="1"/>
  <c r="L27" i="14" s="1"/>
  <c r="M28" i="14" s="1"/>
  <c r="N29" i="14" s="1"/>
  <c r="O30" i="14" s="1"/>
  <c r="P31" i="14" s="1"/>
  <c r="Q32" i="14" s="1"/>
  <c r="R33" i="14" s="1"/>
  <c r="F29" i="14"/>
  <c r="G30" i="14" s="1"/>
  <c r="H31" i="14" s="1"/>
  <c r="I32" i="14" s="1"/>
  <c r="J33" i="14" s="1"/>
  <c r="K34" i="14" s="1"/>
  <c r="L35" i="14" s="1"/>
  <c r="M36" i="14" s="1"/>
  <c r="N37" i="14" s="1"/>
  <c r="O38" i="14" s="1"/>
  <c r="P39" i="14" s="1"/>
  <c r="Q40" i="14" s="1"/>
  <c r="W20" i="14"/>
  <c r="X21" i="14" s="1"/>
  <c r="Y22" i="14" s="1"/>
  <c r="Z23" i="14" s="1"/>
  <c r="AA24" i="14" s="1"/>
  <c r="AB25" i="14" s="1"/>
  <c r="AC26" i="14" s="1"/>
  <c r="AD27" i="14" s="1"/>
  <c r="AE28" i="14" s="1"/>
  <c r="AF29" i="14" s="1"/>
  <c r="AG30" i="14" s="1"/>
  <c r="AH31" i="14" s="1"/>
  <c r="AI32" i="14" s="1"/>
  <c r="W24" i="14"/>
  <c r="X25" i="14" s="1"/>
  <c r="Y26" i="14" s="1"/>
  <c r="Z27" i="14" s="1"/>
  <c r="AA28" i="14" s="1"/>
  <c r="AB29" i="14" s="1"/>
  <c r="AC30" i="14" s="1"/>
  <c r="AD31" i="14" s="1"/>
  <c r="AE32" i="14" s="1"/>
  <c r="AF33" i="14" s="1"/>
  <c r="AG34" i="14" s="1"/>
  <c r="AH35" i="14" s="1"/>
  <c r="AI36" i="14" s="1"/>
  <c r="W28" i="14"/>
  <c r="X29" i="14" s="1"/>
  <c r="Y30" i="14" s="1"/>
  <c r="Z31" i="14" s="1"/>
  <c r="AA32" i="14" s="1"/>
  <c r="AB33" i="14" s="1"/>
  <c r="AC34" i="14" s="1"/>
  <c r="AD35" i="14" s="1"/>
  <c r="AE36" i="14" s="1"/>
  <c r="AF37" i="14" s="1"/>
  <c r="AG38" i="14" s="1"/>
  <c r="AH39" i="14" s="1"/>
  <c r="AI40" i="14" s="1"/>
  <c r="A8" i="13"/>
  <c r="B8" i="13" s="1"/>
  <c r="A3" i="15"/>
  <c r="B3" i="15" s="1"/>
  <c r="F25" i="1"/>
  <c r="G26" i="1" s="1"/>
  <c r="H27" i="1" s="1"/>
  <c r="I28" i="1" s="1"/>
  <c r="J29" i="1" s="1"/>
  <c r="K30" i="1" s="1"/>
  <c r="L31" i="1" s="1"/>
  <c r="M32" i="1" s="1"/>
  <c r="N33" i="1" s="1"/>
  <c r="O34" i="1" s="1"/>
  <c r="P35" i="1" s="1"/>
  <c r="Q36" i="1" s="1"/>
  <c r="R37" i="1" s="1"/>
  <c r="F38" i="1"/>
  <c r="G39" i="1" s="1"/>
  <c r="H40" i="1" s="1"/>
  <c r="F21" i="1"/>
  <c r="G22" i="1" s="1"/>
  <c r="H23" i="1" s="1"/>
  <c r="I24" i="1" s="1"/>
  <c r="J25" i="1" s="1"/>
  <c r="K26" i="1" s="1"/>
  <c r="L27" i="1" s="1"/>
  <c r="M28" i="1" s="1"/>
  <c r="N29" i="1" s="1"/>
  <c r="O30" i="1" s="1"/>
  <c r="P31" i="1" s="1"/>
  <c r="Q32" i="1" s="1"/>
  <c r="R33" i="1" s="1"/>
  <c r="F29" i="1"/>
  <c r="F33" i="1"/>
  <c r="G34" i="1" s="1"/>
  <c r="H35" i="1" s="1"/>
  <c r="I36" i="1" s="1"/>
  <c r="J37" i="1" s="1"/>
  <c r="K38" i="1" s="1"/>
  <c r="L39" i="1" s="1"/>
  <c r="M40" i="1" s="1"/>
  <c r="F37" i="1"/>
  <c r="G38" i="1" s="1"/>
  <c r="H39" i="1" s="1"/>
  <c r="I40" i="1" s="1"/>
  <c r="F34" i="1"/>
  <c r="G35" i="1" s="1"/>
  <c r="H36" i="1" s="1"/>
  <c r="I37" i="1" s="1"/>
  <c r="J38" i="1" s="1"/>
  <c r="K39" i="1" s="1"/>
  <c r="L40" i="1" s="1"/>
  <c r="F18" i="14"/>
  <c r="F11" i="14"/>
  <c r="G12" i="14" s="1"/>
  <c r="H13" i="14" s="1"/>
  <c r="I14" i="14" s="1"/>
  <c r="J15" i="14" s="1"/>
  <c r="K16" i="14" s="1"/>
  <c r="L17" i="14" s="1"/>
  <c r="M18" i="14" s="1"/>
  <c r="N19" i="14" s="1"/>
  <c r="O20" i="14" s="1"/>
  <c r="P21" i="14" s="1"/>
  <c r="Q22" i="14" s="1"/>
  <c r="R23" i="14" s="1"/>
  <c r="F15" i="14"/>
  <c r="G16" i="14" s="1"/>
  <c r="H17" i="14" s="1"/>
  <c r="I18" i="14" s="1"/>
  <c r="J19" i="14" s="1"/>
  <c r="K20" i="14" s="1"/>
  <c r="L21" i="14" s="1"/>
  <c r="M22" i="14" s="1"/>
  <c r="N23" i="14" s="1"/>
  <c r="O24" i="14" s="1"/>
  <c r="P25" i="14" s="1"/>
  <c r="Q26" i="14" s="1"/>
  <c r="R27" i="14" s="1"/>
  <c r="F8" i="14"/>
  <c r="G9" i="14" s="1"/>
  <c r="H10" i="14" s="1"/>
  <c r="I11" i="14" s="1"/>
  <c r="J12" i="14" s="1"/>
  <c r="K13" i="14" s="1"/>
  <c r="L14" i="14" s="1"/>
  <c r="M15" i="14" s="1"/>
  <c r="N16" i="14" s="1"/>
  <c r="O17" i="14" s="1"/>
  <c r="P18" i="14" s="1"/>
  <c r="Q19" i="14" s="1"/>
  <c r="R20" i="14" s="1"/>
  <c r="F6" i="14"/>
  <c r="F13" i="14"/>
  <c r="G14" i="14" s="1"/>
  <c r="H15" i="14" s="1"/>
  <c r="I16" i="14" s="1"/>
  <c r="J17" i="14" s="1"/>
  <c r="K18" i="14" s="1"/>
  <c r="L19" i="14" s="1"/>
  <c r="M20" i="14" s="1"/>
  <c r="N21" i="14" s="1"/>
  <c r="O22" i="14" s="1"/>
  <c r="P23" i="14" s="1"/>
  <c r="Q24" i="14" s="1"/>
  <c r="R25" i="14" s="1"/>
  <c r="F9" i="1"/>
  <c r="G10" i="1" s="1"/>
  <c r="H11" i="1" s="1"/>
  <c r="I12" i="1" s="1"/>
  <c r="J13" i="1" s="1"/>
  <c r="K14" i="1" s="1"/>
  <c r="L15" i="1" s="1"/>
  <c r="M16" i="1" s="1"/>
  <c r="N17" i="1" s="1"/>
  <c r="O18" i="1" s="1"/>
  <c r="P19" i="1" s="1"/>
  <c r="Q20" i="1" s="1"/>
  <c r="R21" i="1" s="1"/>
  <c r="F13" i="1"/>
  <c r="G14" i="1" s="1"/>
  <c r="H15" i="1" s="1"/>
  <c r="I16" i="1" s="1"/>
  <c r="J17" i="1" s="1"/>
  <c r="K18" i="1" s="1"/>
  <c r="L19" i="1" s="1"/>
  <c r="M20" i="1" s="1"/>
  <c r="N21" i="1" s="1"/>
  <c r="O22" i="1" s="1"/>
  <c r="P23" i="1" s="1"/>
  <c r="Q24" i="1" s="1"/>
  <c r="R25" i="1" s="1"/>
  <c r="F17" i="1"/>
  <c r="F10" i="14"/>
  <c r="G11" i="14" s="1"/>
  <c r="H12" i="14" s="1"/>
  <c r="I13" i="14" s="1"/>
  <c r="J14" i="14" s="1"/>
  <c r="K15" i="14" s="1"/>
  <c r="L16" i="14" s="1"/>
  <c r="M17" i="14" s="1"/>
  <c r="N18" i="14" s="1"/>
  <c r="O19" i="14" s="1"/>
  <c r="P20" i="14" s="1"/>
  <c r="Q21" i="14" s="1"/>
  <c r="R22" i="14" s="1"/>
  <c r="F14" i="14"/>
  <c r="G15" i="14" s="1"/>
  <c r="H16" i="14" s="1"/>
  <c r="I17" i="14" s="1"/>
  <c r="J18" i="14" s="1"/>
  <c r="K19" i="14" s="1"/>
  <c r="L20" i="14" s="1"/>
  <c r="M21" i="14" s="1"/>
  <c r="N22" i="14" s="1"/>
  <c r="O23" i="14" s="1"/>
  <c r="P24" i="14" s="1"/>
  <c r="Q25" i="14" s="1"/>
  <c r="R26" i="14" s="1"/>
  <c r="F16" i="14"/>
  <c r="G17" i="14" s="1"/>
  <c r="H18" i="14" s="1"/>
  <c r="I19" i="14" s="1"/>
  <c r="J20" i="14" s="1"/>
  <c r="K21" i="14" s="1"/>
  <c r="L22" i="14" s="1"/>
  <c r="M23" i="14" s="1"/>
  <c r="N24" i="14" s="1"/>
  <c r="O25" i="14" s="1"/>
  <c r="P26" i="14" s="1"/>
  <c r="Q27" i="14" s="1"/>
  <c r="R28" i="14" s="1"/>
  <c r="F39" i="14"/>
  <c r="G40" i="14" s="1"/>
  <c r="F25" i="14"/>
  <c r="G26" i="14" s="1"/>
  <c r="H27" i="14" s="1"/>
  <c r="I28" i="14" s="1"/>
  <c r="J29" i="14" s="1"/>
  <c r="K30" i="14" s="1"/>
  <c r="L31" i="14" s="1"/>
  <c r="M32" i="14" s="1"/>
  <c r="N33" i="14" s="1"/>
  <c r="O34" i="14" s="1"/>
  <c r="P35" i="14" s="1"/>
  <c r="Q36" i="14" s="1"/>
  <c r="R37" i="14" s="1"/>
  <c r="F27" i="14"/>
  <c r="G28" i="14" s="1"/>
  <c r="H29" i="14" s="1"/>
  <c r="I30" i="14" s="1"/>
  <c r="J31" i="14" s="1"/>
  <c r="K32" i="14" s="1"/>
  <c r="L33" i="14" s="1"/>
  <c r="M34" i="14" s="1"/>
  <c r="N35" i="14" s="1"/>
  <c r="O36" i="14" s="1"/>
  <c r="P37" i="14" s="1"/>
  <c r="Q38" i="14" s="1"/>
  <c r="R39" i="14" s="1"/>
  <c r="F28" i="14"/>
  <c r="G29" i="14" s="1"/>
  <c r="H30" i="14" s="1"/>
  <c r="I31" i="14" s="1"/>
  <c r="J32" i="14" s="1"/>
  <c r="K33" i="14" s="1"/>
  <c r="L34" i="14" s="1"/>
  <c r="M35" i="14" s="1"/>
  <c r="N36" i="14" s="1"/>
  <c r="O37" i="14" s="1"/>
  <c r="P38" i="14" s="1"/>
  <c r="Q39" i="14" s="1"/>
  <c r="R40" i="14" s="1"/>
  <c r="F40" i="14"/>
  <c r="F32" i="14"/>
  <c r="G33" i="14" s="1"/>
  <c r="H34" i="14" s="1"/>
  <c r="I35" i="14" s="1"/>
  <c r="J36" i="14" s="1"/>
  <c r="K37" i="14" s="1"/>
  <c r="L38" i="14" s="1"/>
  <c r="M39" i="14" s="1"/>
  <c r="N40" i="14" s="1"/>
  <c r="F35" i="14"/>
  <c r="G36" i="14" s="1"/>
  <c r="H37" i="14" s="1"/>
  <c r="I38" i="14" s="1"/>
  <c r="J39" i="14" s="1"/>
  <c r="K40" i="14" s="1"/>
  <c r="F30" i="14"/>
  <c r="F36" i="14"/>
  <c r="G37" i="14" s="1"/>
  <c r="H38" i="14" s="1"/>
  <c r="I39" i="14" s="1"/>
  <c r="J40" i="14" s="1"/>
  <c r="F34" i="14"/>
  <c r="G35" i="14" s="1"/>
  <c r="H36" i="14" s="1"/>
  <c r="I37" i="14" s="1"/>
  <c r="J38" i="14" s="1"/>
  <c r="K39" i="14" s="1"/>
  <c r="L40" i="14" s="1"/>
  <c r="F38" i="14"/>
  <c r="G39" i="14" s="1"/>
  <c r="H40" i="14" s="1"/>
  <c r="F33" i="14"/>
  <c r="G34" i="14" s="1"/>
  <c r="H35" i="14" s="1"/>
  <c r="I36" i="14" s="1"/>
  <c r="J37" i="14" s="1"/>
  <c r="K38" i="14" s="1"/>
  <c r="L39" i="14" s="1"/>
  <c r="M40" i="14" s="1"/>
  <c r="F37" i="14"/>
  <c r="G38" i="14" s="1"/>
  <c r="H39" i="14" s="1"/>
  <c r="I40" i="14" s="1"/>
  <c r="F11" i="1"/>
  <c r="F15" i="1"/>
  <c r="G16" i="1" s="1"/>
  <c r="H17" i="1" s="1"/>
  <c r="I18" i="1" s="1"/>
  <c r="J19" i="1" s="1"/>
  <c r="K20" i="1" s="1"/>
  <c r="L21" i="1" s="1"/>
  <c r="M22" i="1" s="1"/>
  <c r="N23" i="1" s="1"/>
  <c r="O24" i="1" s="1"/>
  <c r="P25" i="1" s="1"/>
  <c r="Q26" i="1" s="1"/>
  <c r="R27" i="1" s="1"/>
  <c r="F23" i="1"/>
  <c r="G24" i="1" s="1"/>
  <c r="H25" i="1" s="1"/>
  <c r="I26" i="1" s="1"/>
  <c r="J27" i="1" s="1"/>
  <c r="K28" i="1" s="1"/>
  <c r="L29" i="1" s="1"/>
  <c r="M30" i="1" s="1"/>
  <c r="N31" i="1" s="1"/>
  <c r="O32" i="1" s="1"/>
  <c r="P33" i="1" s="1"/>
  <c r="Q34" i="1" s="1"/>
  <c r="R35" i="1" s="1"/>
  <c r="F27" i="1"/>
  <c r="G28" i="1" s="1"/>
  <c r="H29" i="1" s="1"/>
  <c r="I30" i="1" s="1"/>
  <c r="J31" i="1" s="1"/>
  <c r="K32" i="1" s="1"/>
  <c r="L33" i="1" s="1"/>
  <c r="M34" i="1" s="1"/>
  <c r="N35" i="1" s="1"/>
  <c r="O36" i="1" s="1"/>
  <c r="P37" i="1" s="1"/>
  <c r="Q38" i="1" s="1"/>
  <c r="R39" i="1" s="1"/>
  <c r="F35" i="1"/>
  <c r="F39" i="1"/>
  <c r="G40" i="1" s="1"/>
  <c r="F8" i="1"/>
  <c r="G9" i="1" s="1"/>
  <c r="H10" i="1" s="1"/>
  <c r="I11" i="1" s="1"/>
  <c r="J12" i="1" s="1"/>
  <c r="K13" i="1" s="1"/>
  <c r="L14" i="1" s="1"/>
  <c r="M15" i="1" s="1"/>
  <c r="N16" i="1" s="1"/>
  <c r="O17" i="1" s="1"/>
  <c r="P18" i="1" s="1"/>
  <c r="Q19" i="1" s="1"/>
  <c r="R20" i="1" s="1"/>
  <c r="F16" i="1"/>
  <c r="G17" i="1" s="1"/>
  <c r="H18" i="1" s="1"/>
  <c r="I19" i="1" s="1"/>
  <c r="J20" i="1" s="1"/>
  <c r="K21" i="1" s="1"/>
  <c r="L22" i="1" s="1"/>
  <c r="M23" i="1" s="1"/>
  <c r="N24" i="1" s="1"/>
  <c r="O25" i="1" s="1"/>
  <c r="P26" i="1" s="1"/>
  <c r="Q27" i="1" s="1"/>
  <c r="R28" i="1" s="1"/>
  <c r="F24" i="1"/>
  <c r="F28" i="1"/>
  <c r="G29" i="1" s="1"/>
  <c r="H30" i="1" s="1"/>
  <c r="I31" i="1" s="1"/>
  <c r="J32" i="1" s="1"/>
  <c r="K33" i="1" s="1"/>
  <c r="L34" i="1" s="1"/>
  <c r="M35" i="1" s="1"/>
  <c r="N36" i="1" s="1"/>
  <c r="O37" i="1" s="1"/>
  <c r="P38" i="1" s="1"/>
  <c r="Q39" i="1" s="1"/>
  <c r="R40" i="1" s="1"/>
  <c r="F32" i="1"/>
  <c r="G33" i="1" s="1"/>
  <c r="H34" i="1" s="1"/>
  <c r="I35" i="1" s="1"/>
  <c r="J36" i="1" s="1"/>
  <c r="K37" i="1" s="1"/>
  <c r="L38" i="1" s="1"/>
  <c r="M39" i="1" s="1"/>
  <c r="N40" i="1" s="1"/>
  <c r="F40" i="1"/>
  <c r="F7" i="1"/>
  <c r="F19" i="1"/>
  <c r="G20" i="1" s="1"/>
  <c r="H21" i="1" s="1"/>
  <c r="I22" i="1" s="1"/>
  <c r="J23" i="1" s="1"/>
  <c r="K24" i="1" s="1"/>
  <c r="L25" i="1" s="1"/>
  <c r="M26" i="1" s="1"/>
  <c r="N27" i="1" s="1"/>
  <c r="O28" i="1" s="1"/>
  <c r="P29" i="1" s="1"/>
  <c r="Q30" i="1" s="1"/>
  <c r="R31" i="1" s="1"/>
  <c r="F31" i="1"/>
  <c r="G32" i="1" s="1"/>
  <c r="H33" i="1" s="1"/>
  <c r="I34" i="1" s="1"/>
  <c r="J35" i="1" s="1"/>
  <c r="K36" i="1" s="1"/>
  <c r="L37" i="1" s="1"/>
  <c r="M38" i="1" s="1"/>
  <c r="N39" i="1" s="1"/>
  <c r="O40" i="1" s="1"/>
  <c r="F12" i="1"/>
  <c r="G13" i="1" s="1"/>
  <c r="H14" i="1" s="1"/>
  <c r="I15" i="1" s="1"/>
  <c r="J16" i="1" s="1"/>
  <c r="K17" i="1" s="1"/>
  <c r="L18" i="1" s="1"/>
  <c r="M19" i="1" s="1"/>
  <c r="N20" i="1" s="1"/>
  <c r="O21" i="1" s="1"/>
  <c r="P22" i="1" s="1"/>
  <c r="Q23" i="1" s="1"/>
  <c r="R24" i="1" s="1"/>
  <c r="F20" i="1"/>
  <c r="F36" i="1"/>
  <c r="G37" i="1" s="1"/>
  <c r="H38" i="1" s="1"/>
  <c r="I39" i="1" s="1"/>
  <c r="J40" i="1" s="1"/>
  <c r="F10" i="1"/>
  <c r="G11" i="1" s="1"/>
  <c r="H12" i="1" s="1"/>
  <c r="I13" i="1" s="1"/>
  <c r="J14" i="1" s="1"/>
  <c r="K15" i="1" s="1"/>
  <c r="L16" i="1" s="1"/>
  <c r="M17" i="1" s="1"/>
  <c r="N18" i="1" s="1"/>
  <c r="O19" i="1" s="1"/>
  <c r="P20" i="1" s="1"/>
  <c r="Q21" i="1" s="1"/>
  <c r="R22" i="1" s="1"/>
  <c r="F14" i="1"/>
  <c r="G15" i="1" s="1"/>
  <c r="H16" i="1" s="1"/>
  <c r="I17" i="1" s="1"/>
  <c r="J18" i="1" s="1"/>
  <c r="K19" i="1" s="1"/>
  <c r="L20" i="1" s="1"/>
  <c r="M21" i="1" s="1"/>
  <c r="N22" i="1" s="1"/>
  <c r="O23" i="1" s="1"/>
  <c r="P24" i="1" s="1"/>
  <c r="Q25" i="1" s="1"/>
  <c r="R26" i="1" s="1"/>
  <c r="F18" i="1"/>
  <c r="F22" i="1"/>
  <c r="G23" i="1" s="1"/>
  <c r="H24" i="1" s="1"/>
  <c r="I25" i="1" s="1"/>
  <c r="J26" i="1" s="1"/>
  <c r="K27" i="1" s="1"/>
  <c r="L28" i="1" s="1"/>
  <c r="M29" i="1" s="1"/>
  <c r="N30" i="1" s="1"/>
  <c r="O31" i="1" s="1"/>
  <c r="P32" i="1" s="1"/>
  <c r="Q33" i="1" s="1"/>
  <c r="R34" i="1" s="1"/>
  <c r="F26" i="1"/>
  <c r="G27" i="1" s="1"/>
  <c r="H28" i="1" s="1"/>
  <c r="I29" i="1" s="1"/>
  <c r="J30" i="1" s="1"/>
  <c r="K31" i="1" s="1"/>
  <c r="L32" i="1" s="1"/>
  <c r="M33" i="1" s="1"/>
  <c r="N34" i="1" s="1"/>
  <c r="O35" i="1" s="1"/>
  <c r="P36" i="1" s="1"/>
  <c r="Q37" i="1" s="1"/>
  <c r="R38" i="1" s="1"/>
  <c r="F30" i="1"/>
  <c r="G31" i="1" s="1"/>
  <c r="H32" i="1" s="1"/>
  <c r="I33" i="1" s="1"/>
  <c r="J34" i="1" s="1"/>
  <c r="K35" i="1" s="1"/>
  <c r="L36" i="1" s="1"/>
  <c r="M37" i="1" s="1"/>
  <c r="N38" i="1" s="1"/>
  <c r="O39" i="1" s="1"/>
  <c r="P40" i="1" s="1"/>
  <c r="B7" i="13"/>
  <c r="AJ31" i="1" l="1"/>
  <c r="AJ19" i="1"/>
  <c r="AJ32" i="1"/>
  <c r="AJ19" i="14"/>
  <c r="Z33" i="1"/>
  <c r="AJ33" i="1" s="1"/>
  <c r="Z21" i="1"/>
  <c r="AJ21" i="1" s="1"/>
  <c r="Y20" i="14"/>
  <c r="AJ20" i="14" s="1"/>
  <c r="X7" i="14"/>
  <c r="AJ7" i="14" s="1"/>
  <c r="G7" i="14"/>
  <c r="S7" i="14" s="1"/>
  <c r="B10" i="14"/>
  <c r="B11" i="14" s="1"/>
  <c r="J7" i="13"/>
  <c r="N7" i="13" s="1"/>
  <c r="G31" i="14"/>
  <c r="S31" i="14" s="1"/>
  <c r="X31" i="14"/>
  <c r="AJ31" i="14" s="1"/>
  <c r="A9" i="13"/>
  <c r="A4" i="15"/>
  <c r="B4" i="15" s="1"/>
  <c r="G21" i="1"/>
  <c r="G8" i="1"/>
  <c r="G25" i="1"/>
  <c r="G36" i="1"/>
  <c r="G12" i="1"/>
  <c r="G18" i="1"/>
  <c r="H19" i="1" s="1"/>
  <c r="I20" i="1" s="1"/>
  <c r="J21" i="1" s="1"/>
  <c r="K22" i="1" s="1"/>
  <c r="L23" i="1" s="1"/>
  <c r="M24" i="1" s="1"/>
  <c r="N25" i="1" s="1"/>
  <c r="O26" i="1" s="1"/>
  <c r="P27" i="1" s="1"/>
  <c r="Q28" i="1" s="1"/>
  <c r="R29" i="1" s="1"/>
  <c r="G30" i="1"/>
  <c r="G19" i="14"/>
  <c r="S19" i="14" s="1"/>
  <c r="G19" i="1"/>
  <c r="B18" i="10"/>
  <c r="B16" i="10" s="1"/>
  <c r="B15" i="10" s="1"/>
  <c r="B14" i="10" s="1"/>
  <c r="B13" i="10" s="1"/>
  <c r="B12" i="10" s="1"/>
  <c r="B11" i="10" s="1"/>
  <c r="B10" i="10" s="1"/>
  <c r="B9" i="10" s="1"/>
  <c r="B8" i="10" s="1"/>
  <c r="B7" i="10" s="1"/>
  <c r="B6" i="10" s="1"/>
  <c r="B5" i="10" s="1"/>
  <c r="AA34" i="1" l="1"/>
  <c r="AJ34" i="1" s="1"/>
  <c r="AA22" i="1"/>
  <c r="AJ22" i="1" s="1"/>
  <c r="Z21" i="14"/>
  <c r="AJ21" i="14" s="1"/>
  <c r="J8" i="13"/>
  <c r="N8" i="13" s="1"/>
  <c r="Y8" i="14"/>
  <c r="AJ8" i="14" s="1"/>
  <c r="AX5" i="14"/>
  <c r="AX6" i="14" s="1"/>
  <c r="AX7" i="14" s="1"/>
  <c r="AX8" i="14" s="1"/>
  <c r="AX9" i="14" s="1"/>
  <c r="AX10" i="14" s="1"/>
  <c r="AX11" i="14" s="1"/>
  <c r="AX12" i="14" s="1"/>
  <c r="AX13" i="14" s="1"/>
  <c r="AX14" i="14" s="1"/>
  <c r="AX15" i="14" s="1"/>
  <c r="AX16" i="14" s="1"/>
  <c r="AX17" i="14" s="1"/>
  <c r="AX18" i="14" s="1"/>
  <c r="AX19" i="14" s="1"/>
  <c r="AX20" i="14" s="1"/>
  <c r="AX21" i="14" s="1"/>
  <c r="AX22" i="14" s="1"/>
  <c r="AX23" i="14" s="1"/>
  <c r="AX24" i="14" s="1"/>
  <c r="AX25" i="14" s="1"/>
  <c r="AX26" i="14" s="1"/>
  <c r="AX27" i="14" s="1"/>
  <c r="AX28" i="14" s="1"/>
  <c r="AX29" i="14" s="1"/>
  <c r="AX30" i="14" s="1"/>
  <c r="AX31" i="14" s="1"/>
  <c r="AX32" i="14" s="1"/>
  <c r="AX33" i="14" s="1"/>
  <c r="AX34" i="14" s="1"/>
  <c r="AX35" i="14" s="1"/>
  <c r="AX36" i="14" s="1"/>
  <c r="AX37" i="14" s="1"/>
  <c r="AX38" i="14" s="1"/>
  <c r="AX39" i="14" s="1"/>
  <c r="AX40" i="14" s="1"/>
  <c r="B20" i="14"/>
  <c r="Q24" i="6" s="1"/>
  <c r="H8" i="14"/>
  <c r="S8" i="14" s="1"/>
  <c r="B12" i="14"/>
  <c r="J24" i="13"/>
  <c r="H32" i="14"/>
  <c r="S32" i="14" s="1"/>
  <c r="Y32" i="14"/>
  <c r="AJ32" i="14" s="1"/>
  <c r="A10" i="13"/>
  <c r="A5" i="15"/>
  <c r="B5" i="15" s="1"/>
  <c r="B9" i="13"/>
  <c r="H31" i="1"/>
  <c r="H26" i="1"/>
  <c r="H22" i="1"/>
  <c r="H13" i="1"/>
  <c r="H37" i="1"/>
  <c r="H9" i="1"/>
  <c r="H20" i="14"/>
  <c r="S20" i="14" s="1"/>
  <c r="H20" i="1"/>
  <c r="B19" i="10"/>
  <c r="B20" i="10" s="1"/>
  <c r="B21" i="10" s="1"/>
  <c r="B22" i="10" s="1"/>
  <c r="B23" i="10" s="1"/>
  <c r="B24" i="10" s="1"/>
  <c r="B25" i="10" s="1"/>
  <c r="B26" i="10" s="1"/>
  <c r="B27" i="10" s="1"/>
  <c r="B28" i="10" s="1"/>
  <c r="B29" i="10" s="1"/>
  <c r="B31" i="10" s="1"/>
  <c r="V5" i="1"/>
  <c r="AI5" i="1"/>
  <c r="AH5" i="1"/>
  <c r="AI6" i="1" s="1"/>
  <c r="AG5" i="1"/>
  <c r="AH6" i="1" s="1"/>
  <c r="AI7" i="1" s="1"/>
  <c r="AF5" i="1"/>
  <c r="AG6" i="1" s="1"/>
  <c r="AH7" i="1" s="1"/>
  <c r="AI8" i="1" s="1"/>
  <c r="AE5" i="1"/>
  <c r="AF6" i="1" s="1"/>
  <c r="AG7" i="1" s="1"/>
  <c r="AH8" i="1" s="1"/>
  <c r="AI9" i="1" s="1"/>
  <c r="AD5" i="1"/>
  <c r="AE6" i="1" s="1"/>
  <c r="AF7" i="1" s="1"/>
  <c r="AG8" i="1" s="1"/>
  <c r="AH9" i="1" s="1"/>
  <c r="AI10" i="1" s="1"/>
  <c r="AC5" i="1"/>
  <c r="AD6" i="1" s="1"/>
  <c r="AE7" i="1" s="1"/>
  <c r="AF8" i="1" s="1"/>
  <c r="AG9" i="1" s="1"/>
  <c r="AH10" i="1" s="1"/>
  <c r="AI11" i="1" s="1"/>
  <c r="AA5" i="1"/>
  <c r="AB6" i="1" s="1"/>
  <c r="AC7" i="1" s="1"/>
  <c r="AD8" i="1" s="1"/>
  <c r="AE9" i="1" s="1"/>
  <c r="AF10" i="1" s="1"/>
  <c r="AG11" i="1" s="1"/>
  <c r="AH12" i="1" s="1"/>
  <c r="AI13" i="1" s="1"/>
  <c r="Z5" i="1"/>
  <c r="AA6" i="1" s="1"/>
  <c r="AB7" i="1" s="1"/>
  <c r="AC8" i="1" s="1"/>
  <c r="AD9" i="1" s="1"/>
  <c r="AE10" i="1" s="1"/>
  <c r="AF11" i="1" s="1"/>
  <c r="AG12" i="1" s="1"/>
  <c r="AH13" i="1" s="1"/>
  <c r="AI14" i="1" s="1"/>
  <c r="Y5" i="1"/>
  <c r="Z6" i="1" s="1"/>
  <c r="AA7" i="1" s="1"/>
  <c r="AB8" i="1" s="1"/>
  <c r="AC9" i="1" s="1"/>
  <c r="AD10" i="1" s="1"/>
  <c r="AE11" i="1" s="1"/>
  <c r="AF12" i="1" s="1"/>
  <c r="AG13" i="1" s="1"/>
  <c r="AH14" i="1" s="1"/>
  <c r="AI15" i="1" s="1"/>
  <c r="X5" i="1"/>
  <c r="Y6" i="1" s="1"/>
  <c r="Z7" i="1" s="1"/>
  <c r="AA8" i="1" s="1"/>
  <c r="AB9" i="1" s="1"/>
  <c r="AC10" i="1" s="1"/>
  <c r="AD11" i="1" s="1"/>
  <c r="AE12" i="1" s="1"/>
  <c r="AF13" i="1" s="1"/>
  <c r="AG14" i="1" s="1"/>
  <c r="AH15" i="1" s="1"/>
  <c r="AI16" i="1" s="1"/>
  <c r="W5" i="1"/>
  <c r="X6" i="1" s="1"/>
  <c r="Y7" i="1" s="1"/>
  <c r="Z8" i="1" s="1"/>
  <c r="AA9" i="1" s="1"/>
  <c r="AB10" i="1" s="1"/>
  <c r="AC11" i="1" s="1"/>
  <c r="AD12" i="1" s="1"/>
  <c r="AE13" i="1" s="1"/>
  <c r="AF14" i="1" s="1"/>
  <c r="AG15" i="1" s="1"/>
  <c r="AH16" i="1" s="1"/>
  <c r="AI17" i="1" s="1"/>
  <c r="R5" i="1"/>
  <c r="Q5" i="1"/>
  <c r="P5" i="1"/>
  <c r="O5" i="1"/>
  <c r="N5" i="1"/>
  <c r="M5" i="1"/>
  <c r="L5" i="1"/>
  <c r="K5" i="1"/>
  <c r="J5" i="1"/>
  <c r="I5" i="1"/>
  <c r="H5" i="1"/>
  <c r="G5" i="1"/>
  <c r="F5" i="1"/>
  <c r="E5" i="1"/>
  <c r="AJ5" i="1" l="1"/>
  <c r="S5" i="1"/>
  <c r="J25" i="13"/>
  <c r="AB35" i="1"/>
  <c r="AJ35" i="1" s="1"/>
  <c r="AB23" i="1"/>
  <c r="AJ23" i="1" s="1"/>
  <c r="AA22" i="14"/>
  <c r="AJ22" i="14" s="1"/>
  <c r="Z9" i="14"/>
  <c r="AJ9" i="14" s="1"/>
  <c r="J9" i="13"/>
  <c r="N9" i="13" s="1"/>
  <c r="C24" i="6"/>
  <c r="O24" i="6"/>
  <c r="AY5" i="14"/>
  <c r="B21" i="14"/>
  <c r="P24" i="6" s="1"/>
  <c r="I9" i="14"/>
  <c r="S9" i="14" s="1"/>
  <c r="W6" i="1"/>
  <c r="AJ6" i="1" s="1"/>
  <c r="I33" i="14"/>
  <c r="S33" i="14" s="1"/>
  <c r="Z33" i="14"/>
  <c r="AJ33" i="14" s="1"/>
  <c r="J39" i="13"/>
  <c r="A11" i="13"/>
  <c r="A6" i="15"/>
  <c r="B6" i="15" s="1"/>
  <c r="B10" i="13"/>
  <c r="I10" i="1"/>
  <c r="I38" i="1"/>
  <c r="I14" i="1"/>
  <c r="I32" i="1"/>
  <c r="I27" i="1"/>
  <c r="I23" i="1"/>
  <c r="I21" i="14"/>
  <c r="S21" i="14" s="1"/>
  <c r="I21" i="1"/>
  <c r="I6" i="1"/>
  <c r="J7" i="1" s="1"/>
  <c r="Q6" i="1"/>
  <c r="R7" i="1" s="1"/>
  <c r="R6" i="1"/>
  <c r="H6" i="1"/>
  <c r="I7" i="1" s="1"/>
  <c r="L6" i="1"/>
  <c r="M7" i="1" s="1"/>
  <c r="N8" i="1" s="1"/>
  <c r="O9" i="1" s="1"/>
  <c r="P10" i="1" s="1"/>
  <c r="Q11" i="1" s="1"/>
  <c r="R12" i="1" s="1"/>
  <c r="P6" i="1"/>
  <c r="Q7" i="1" s="1"/>
  <c r="R8" i="1" s="1"/>
  <c r="M6" i="1"/>
  <c r="N7" i="1" s="1"/>
  <c r="O8" i="1" s="1"/>
  <c r="P9" i="1" s="1"/>
  <c r="Q10" i="1" s="1"/>
  <c r="R11" i="1" s="1"/>
  <c r="F6" i="1"/>
  <c r="J6" i="1"/>
  <c r="K7" i="1" s="1"/>
  <c r="N6" i="1"/>
  <c r="O7" i="1" s="1"/>
  <c r="P8" i="1" s="1"/>
  <c r="Q9" i="1" s="1"/>
  <c r="R10" i="1" s="1"/>
  <c r="G6" i="1"/>
  <c r="H7" i="1" s="1"/>
  <c r="K6" i="1"/>
  <c r="L7" i="1" s="1"/>
  <c r="O6" i="1"/>
  <c r="P7" i="1" s="1"/>
  <c r="Q8" i="1" s="1"/>
  <c r="R9" i="1" s="1"/>
  <c r="S6" i="1" l="1"/>
  <c r="AC36" i="1"/>
  <c r="AJ36" i="1" s="1"/>
  <c r="AC24" i="1"/>
  <c r="AJ24" i="1" s="1"/>
  <c r="AB23" i="14"/>
  <c r="AJ23" i="14" s="1"/>
  <c r="AP5" i="14"/>
  <c r="AU5" i="14"/>
  <c r="AS5" i="14"/>
  <c r="AT5" i="14"/>
  <c r="AO5" i="14"/>
  <c r="AR5" i="14"/>
  <c r="AN5" i="14"/>
  <c r="AQ5" i="14"/>
  <c r="AA10" i="14"/>
  <c r="AJ10" i="14" s="1"/>
  <c r="B24" i="6"/>
  <c r="N24" i="6"/>
  <c r="AY6" i="14"/>
  <c r="Y4" i="6"/>
  <c r="AA4" i="6" s="1"/>
  <c r="J10" i="14"/>
  <c r="S10" i="14" s="1"/>
  <c r="J10" i="13"/>
  <c r="N10" i="13" s="1"/>
  <c r="C7" i="13"/>
  <c r="G7" i="13" s="1"/>
  <c r="X7" i="1"/>
  <c r="AJ7" i="1" s="1"/>
  <c r="J26" i="13"/>
  <c r="J40" i="13"/>
  <c r="AA34" i="14"/>
  <c r="AJ34" i="14" s="1"/>
  <c r="J34" i="14"/>
  <c r="S34" i="14" s="1"/>
  <c r="A12" i="13"/>
  <c r="A7" i="15"/>
  <c r="B7" i="15" s="1"/>
  <c r="B11" i="13"/>
  <c r="J28" i="1"/>
  <c r="J15" i="1"/>
  <c r="J33" i="1"/>
  <c r="J24" i="1"/>
  <c r="J39" i="1"/>
  <c r="J11" i="1"/>
  <c r="J22" i="14"/>
  <c r="S22" i="14" s="1"/>
  <c r="J22" i="1"/>
  <c r="G7" i="1"/>
  <c r="S7" i="1" s="1"/>
  <c r="M8" i="1"/>
  <c r="N9" i="1" s="1"/>
  <c r="O10" i="1" s="1"/>
  <c r="P11" i="1" s="1"/>
  <c r="Q12" i="1" s="1"/>
  <c r="R13" i="1" s="1"/>
  <c r="I8" i="1"/>
  <c r="L8" i="1"/>
  <c r="K8" i="1"/>
  <c r="J8" i="1"/>
  <c r="J11" i="13" l="1"/>
  <c r="N11" i="13" s="1"/>
  <c r="AD37" i="1"/>
  <c r="AJ37" i="1" s="1"/>
  <c r="AD25" i="1"/>
  <c r="AJ25" i="1" s="1"/>
  <c r="AC24" i="14"/>
  <c r="AJ24" i="14" s="1"/>
  <c r="AU6" i="14"/>
  <c r="AT6" i="14"/>
  <c r="AQ6" i="14"/>
  <c r="AR6" i="14"/>
  <c r="AS6" i="14"/>
  <c r="AN6" i="14"/>
  <c r="AP6" i="14"/>
  <c r="AO6" i="14"/>
  <c r="AB11" i="14"/>
  <c r="AJ11" i="14" s="1"/>
  <c r="C9" i="13"/>
  <c r="G9" i="13" s="1"/>
  <c r="AV5" i="14"/>
  <c r="AW5" i="14" s="1"/>
  <c r="AY7" i="14"/>
  <c r="X4" i="6"/>
  <c r="Z4" i="6" s="1"/>
  <c r="K11" i="14"/>
  <c r="S11" i="14" s="1"/>
  <c r="C8" i="13"/>
  <c r="G8" i="13" s="1"/>
  <c r="Y8" i="1"/>
  <c r="AJ8" i="1" s="1"/>
  <c r="K35" i="14"/>
  <c r="S35" i="14" s="1"/>
  <c r="AB35" i="14"/>
  <c r="AJ35" i="14" s="1"/>
  <c r="J41" i="13"/>
  <c r="A13" i="13"/>
  <c r="A8" i="15"/>
  <c r="B8" i="15" s="1"/>
  <c r="B12" i="13"/>
  <c r="K40" i="1"/>
  <c r="K12" i="1"/>
  <c r="K25" i="1"/>
  <c r="K16" i="1"/>
  <c r="K34" i="1"/>
  <c r="K29" i="1"/>
  <c r="K23" i="14"/>
  <c r="S23" i="14" s="1"/>
  <c r="K23" i="1"/>
  <c r="H8" i="1"/>
  <c r="S8" i="1" s="1"/>
  <c r="K9" i="1"/>
  <c r="M9" i="1"/>
  <c r="N10" i="1" s="1"/>
  <c r="O11" i="1" s="1"/>
  <c r="P12" i="1" s="1"/>
  <c r="Q13" i="1" s="1"/>
  <c r="R14" i="1" s="1"/>
  <c r="L9" i="1"/>
  <c r="J9" i="1"/>
  <c r="J12" i="13" l="1"/>
  <c r="N12" i="13" s="1"/>
  <c r="AE38" i="1"/>
  <c r="AJ38" i="1" s="1"/>
  <c r="AE26" i="1"/>
  <c r="AJ26" i="1" s="1"/>
  <c r="AD25" i="14"/>
  <c r="AJ25" i="14" s="1"/>
  <c r="AU7" i="14"/>
  <c r="AR7" i="14"/>
  <c r="AS7" i="14"/>
  <c r="AP7" i="14"/>
  <c r="AQ7" i="14"/>
  <c r="AO7" i="14"/>
  <c r="AN7" i="14"/>
  <c r="AT7" i="14"/>
  <c r="AC12" i="14"/>
  <c r="AJ12" i="14" s="1"/>
  <c r="C10" i="13"/>
  <c r="G10" i="13" s="1"/>
  <c r="AY8" i="14"/>
  <c r="AV6" i="14"/>
  <c r="AW6" i="14" s="1"/>
  <c r="L12" i="14"/>
  <c r="S12" i="14" s="1"/>
  <c r="K7" i="13"/>
  <c r="O7" i="13" s="1"/>
  <c r="Z9" i="1"/>
  <c r="AJ9" i="1" s="1"/>
  <c r="J42" i="13"/>
  <c r="AC36" i="14"/>
  <c r="AJ36" i="14" s="1"/>
  <c r="J27" i="13"/>
  <c r="L36" i="14"/>
  <c r="S36" i="14" s="1"/>
  <c r="J28" i="13"/>
  <c r="A14" i="13"/>
  <c r="A9" i="15"/>
  <c r="B9" i="15" s="1"/>
  <c r="B13" i="13"/>
  <c r="L13" i="1"/>
  <c r="L30" i="1"/>
  <c r="L17" i="1"/>
  <c r="L35" i="1"/>
  <c r="L26" i="1"/>
  <c r="L24" i="14"/>
  <c r="S24" i="14" s="1"/>
  <c r="I9" i="1"/>
  <c r="S9" i="1" s="1"/>
  <c r="L24" i="1"/>
  <c r="S24" i="1" s="1"/>
  <c r="K10" i="1"/>
  <c r="L10" i="1"/>
  <c r="M10" i="1"/>
  <c r="N11" i="1" s="1"/>
  <c r="B5" i="1"/>
  <c r="B6" i="1"/>
  <c r="B7" i="1" s="1"/>
  <c r="O12" i="1" l="1"/>
  <c r="P13" i="1" s="1"/>
  <c r="Q14" i="1" s="1"/>
  <c r="R15" i="1" s="1"/>
  <c r="AF39" i="1"/>
  <c r="AJ39" i="1" s="1"/>
  <c r="AF27" i="1"/>
  <c r="AJ27" i="1" s="1"/>
  <c r="J13" i="13"/>
  <c r="N13" i="13" s="1"/>
  <c r="AE26" i="14"/>
  <c r="AJ26" i="14" s="1"/>
  <c r="AT8" i="14"/>
  <c r="AN8" i="14"/>
  <c r="AR8" i="14"/>
  <c r="AU8" i="14"/>
  <c r="AO8" i="14"/>
  <c r="AS8" i="14"/>
  <c r="AP8" i="14"/>
  <c r="AQ8" i="14"/>
  <c r="AD13" i="14"/>
  <c r="AJ13" i="14" s="1"/>
  <c r="C11" i="13"/>
  <c r="G11" i="13" s="1"/>
  <c r="AV7" i="14"/>
  <c r="AW7" i="14" s="1"/>
  <c r="K8" i="13"/>
  <c r="D4" i="15" s="1"/>
  <c r="F4" i="15" s="1"/>
  <c r="AY9" i="14"/>
  <c r="M13" i="14"/>
  <c r="S13" i="14" s="1"/>
  <c r="L3" i="15"/>
  <c r="L7" i="13"/>
  <c r="H3" i="15" s="1"/>
  <c r="D3" i="15"/>
  <c r="F3" i="15" s="1"/>
  <c r="AA10" i="1"/>
  <c r="AJ10" i="1" s="1"/>
  <c r="J43" i="13"/>
  <c r="C29" i="13"/>
  <c r="J29" i="13"/>
  <c r="M37" i="14"/>
  <c r="S37" i="14" s="1"/>
  <c r="AD37" i="14"/>
  <c r="AJ37" i="14" s="1"/>
  <c r="A15" i="13"/>
  <c r="A10" i="15"/>
  <c r="B10" i="15" s="1"/>
  <c r="B14" i="13"/>
  <c r="M27" i="1"/>
  <c r="M18" i="1"/>
  <c r="M36" i="1"/>
  <c r="M31" i="1"/>
  <c r="M14" i="1"/>
  <c r="M25" i="14"/>
  <c r="S25" i="14" s="1"/>
  <c r="M25" i="1"/>
  <c r="J10" i="1"/>
  <c r="S10" i="1" s="1"/>
  <c r="L11" i="1"/>
  <c r="M11" i="1"/>
  <c r="N12" i="1" s="1"/>
  <c r="M7" i="13"/>
  <c r="J3" i="15" s="1"/>
  <c r="B9" i="1"/>
  <c r="S25" i="1" l="1"/>
  <c r="C30" i="13" s="1"/>
  <c r="AG40" i="1"/>
  <c r="AJ40" i="1" s="1"/>
  <c r="AG28" i="1"/>
  <c r="AJ28" i="1" s="1"/>
  <c r="AF27" i="14"/>
  <c r="AJ27" i="14" s="1"/>
  <c r="AO9" i="14"/>
  <c r="AR9" i="14"/>
  <c r="AU9" i="14"/>
  <c r="AS9" i="14"/>
  <c r="AT9" i="14"/>
  <c r="AP9" i="14"/>
  <c r="AN9" i="14"/>
  <c r="AQ9" i="14"/>
  <c r="AE14" i="14"/>
  <c r="AJ14" i="14" s="1"/>
  <c r="C12" i="13"/>
  <c r="G12" i="13" s="1"/>
  <c r="AY10" i="14"/>
  <c r="AV8" i="14"/>
  <c r="AW8" i="14" s="1"/>
  <c r="L8" i="13"/>
  <c r="K9" i="13"/>
  <c r="J14" i="13"/>
  <c r="N14" i="13" s="1"/>
  <c r="N14" i="14"/>
  <c r="S14" i="14" s="1"/>
  <c r="N3" i="15"/>
  <c r="B10" i="1"/>
  <c r="B11" i="1" s="1"/>
  <c r="B20" i="1" s="1"/>
  <c r="I23" i="6" s="1"/>
  <c r="AB11" i="1"/>
  <c r="AJ11" i="1" s="1"/>
  <c r="J30" i="13"/>
  <c r="J44" i="13"/>
  <c r="AE38" i="14"/>
  <c r="AJ38" i="14" s="1"/>
  <c r="N38" i="14"/>
  <c r="S38" i="14" s="1"/>
  <c r="A16" i="13"/>
  <c r="A11" i="15"/>
  <c r="B11" i="15" s="1"/>
  <c r="B15" i="13"/>
  <c r="N15" i="1"/>
  <c r="N32" i="1"/>
  <c r="N19" i="1"/>
  <c r="O13" i="1"/>
  <c r="K11" i="1"/>
  <c r="S11" i="1" s="1"/>
  <c r="N37" i="1"/>
  <c r="N28" i="1"/>
  <c r="N26" i="14"/>
  <c r="S26" i="14" s="1"/>
  <c r="N26" i="1"/>
  <c r="M12" i="1"/>
  <c r="N13" i="1" s="1"/>
  <c r="O14" i="1" s="1"/>
  <c r="P15" i="1" s="1"/>
  <c r="Q16" i="1" s="1"/>
  <c r="R17" i="1" s="1"/>
  <c r="P14" i="1" l="1"/>
  <c r="Q15" i="1" s="1"/>
  <c r="R16" i="1" s="1"/>
  <c r="C31" i="13"/>
  <c r="S26" i="1"/>
  <c r="S37" i="1"/>
  <c r="C45" i="13" s="1"/>
  <c r="J15" i="13"/>
  <c r="N15" i="13" s="1"/>
  <c r="AH29" i="1"/>
  <c r="AJ29" i="1" s="1"/>
  <c r="AG28" i="14"/>
  <c r="AJ28" i="14" s="1"/>
  <c r="AU10" i="14"/>
  <c r="AR10" i="14"/>
  <c r="AP10" i="14"/>
  <c r="AT10" i="14"/>
  <c r="AO10" i="14"/>
  <c r="AN10" i="14"/>
  <c r="AQ10" i="14"/>
  <c r="AS10" i="14"/>
  <c r="AF15" i="14"/>
  <c r="AJ15" i="14" s="1"/>
  <c r="C13" i="13"/>
  <c r="G13" i="13" s="1"/>
  <c r="K10" i="13"/>
  <c r="D6" i="15" s="1"/>
  <c r="F6" i="15" s="1"/>
  <c r="AY11" i="14"/>
  <c r="AV9" i="14"/>
  <c r="AW9" i="14" s="1"/>
  <c r="D5" i="15"/>
  <c r="F5" i="15" s="1"/>
  <c r="L9" i="13"/>
  <c r="H5" i="15" s="1"/>
  <c r="C23" i="6"/>
  <c r="Q23" i="6"/>
  <c r="O15" i="14"/>
  <c r="S15" i="14" s="1"/>
  <c r="AX5" i="1"/>
  <c r="AX6" i="1" s="1"/>
  <c r="AX7" i="1" s="1"/>
  <c r="B12" i="1"/>
  <c r="B21" i="1" s="1"/>
  <c r="H23" i="6" s="1"/>
  <c r="L12" i="1"/>
  <c r="S12" i="1" s="1"/>
  <c r="AC12" i="1"/>
  <c r="AJ12" i="1" s="1"/>
  <c r="AF39" i="14"/>
  <c r="AJ39" i="14" s="1"/>
  <c r="J31" i="13"/>
  <c r="J45" i="13"/>
  <c r="O39" i="14"/>
  <c r="S39" i="14" s="1"/>
  <c r="A17" i="13"/>
  <c r="A12" i="15"/>
  <c r="B12" i="15" s="1"/>
  <c r="B16" i="13"/>
  <c r="O29" i="1"/>
  <c r="O33" i="1"/>
  <c r="O20" i="1"/>
  <c r="O38" i="1"/>
  <c r="O16" i="1"/>
  <c r="O27" i="14"/>
  <c r="S27" i="14" s="1"/>
  <c r="O27" i="1"/>
  <c r="O9" i="13"/>
  <c r="L5" i="15" s="1"/>
  <c r="M9" i="13"/>
  <c r="J5" i="15" s="1"/>
  <c r="S27" i="1" l="1"/>
  <c r="C32" i="13" s="1"/>
  <c r="S20" i="1"/>
  <c r="C25" i="13" s="1"/>
  <c r="C41" i="13"/>
  <c r="S33" i="1"/>
  <c r="C46" i="13"/>
  <c r="S38" i="1"/>
  <c r="AI30" i="1"/>
  <c r="AJ30" i="1" s="1"/>
  <c r="AH29" i="14"/>
  <c r="AJ29" i="14" s="1"/>
  <c r="AQ11" i="14"/>
  <c r="AN11" i="14"/>
  <c r="AR11" i="14"/>
  <c r="AS11" i="14"/>
  <c r="AP11" i="14"/>
  <c r="AO11" i="14"/>
  <c r="AU11" i="14"/>
  <c r="AT11" i="14"/>
  <c r="AG16" i="14"/>
  <c r="AJ16" i="14" s="1"/>
  <c r="J16" i="13"/>
  <c r="N16" i="13" s="1"/>
  <c r="C14" i="13"/>
  <c r="G14" i="13" s="1"/>
  <c r="AX8" i="1"/>
  <c r="AX9" i="1" s="1"/>
  <c r="AX10" i="1" s="1"/>
  <c r="AX11" i="1" s="1"/>
  <c r="AX12" i="1" s="1"/>
  <c r="AX13" i="1" s="1"/>
  <c r="AX14" i="1" s="1"/>
  <c r="AX15" i="1" s="1"/>
  <c r="AX16" i="1" s="1"/>
  <c r="AX17" i="1" s="1"/>
  <c r="AX18" i="1" s="1"/>
  <c r="AX19" i="1" s="1"/>
  <c r="AX20" i="1" s="1"/>
  <c r="AX21" i="1" s="1"/>
  <c r="AX22" i="1" s="1"/>
  <c r="AX23" i="1" s="1"/>
  <c r="AX24" i="1" s="1"/>
  <c r="AX25" i="1" s="1"/>
  <c r="AX26" i="1" s="1"/>
  <c r="AX27" i="1" s="1"/>
  <c r="AX28" i="1" s="1"/>
  <c r="AX29" i="1" s="1"/>
  <c r="AX30" i="1" s="1"/>
  <c r="AX31" i="1" s="1"/>
  <c r="AX32" i="1" s="1"/>
  <c r="AX33" i="1" s="1"/>
  <c r="AX34" i="1" s="1"/>
  <c r="AX35" i="1" s="1"/>
  <c r="AX36" i="1" s="1"/>
  <c r="AX37" i="1" s="1"/>
  <c r="AX38" i="1" s="1"/>
  <c r="AX39" i="1" s="1"/>
  <c r="AX40" i="1" s="1"/>
  <c r="L10" i="13"/>
  <c r="AV10" i="14"/>
  <c r="K12" i="13" s="1"/>
  <c r="D8" i="15" s="1"/>
  <c r="F8" i="15" s="1"/>
  <c r="AY12" i="14"/>
  <c r="K11" i="13"/>
  <c r="D7" i="15" s="1"/>
  <c r="F7" i="15" s="1"/>
  <c r="B23" i="6"/>
  <c r="P23" i="6"/>
  <c r="T17" i="6"/>
  <c r="T15" i="6"/>
  <c r="V15" i="6" s="1"/>
  <c r="T13" i="6"/>
  <c r="V13" i="6" s="1"/>
  <c r="T11" i="6"/>
  <c r="V11" i="6" s="1"/>
  <c r="T9" i="6"/>
  <c r="V9" i="6" s="1"/>
  <c r="T7" i="6"/>
  <c r="V7" i="6" s="1"/>
  <c r="T5" i="6"/>
  <c r="V5" i="6" s="1"/>
  <c r="T16" i="6"/>
  <c r="T14" i="6"/>
  <c r="V14" i="6" s="1"/>
  <c r="T12" i="6"/>
  <c r="V12" i="6" s="1"/>
  <c r="T10" i="6"/>
  <c r="V10" i="6" s="1"/>
  <c r="T8" i="6"/>
  <c r="V8" i="6" s="1"/>
  <c r="T6" i="6"/>
  <c r="V6" i="6" s="1"/>
  <c r="T4" i="6"/>
  <c r="V4" i="6" s="1"/>
  <c r="P16" i="14"/>
  <c r="S16" i="14" s="1"/>
  <c r="Y14" i="6"/>
  <c r="AA14" i="6" s="1"/>
  <c r="Y10" i="6"/>
  <c r="AA10" i="6" s="1"/>
  <c r="Y16" i="6"/>
  <c r="Y13" i="6"/>
  <c r="AA13" i="6" s="1"/>
  <c r="Y17" i="6"/>
  <c r="Y7" i="6"/>
  <c r="AA7" i="6" s="1"/>
  <c r="Y11" i="6"/>
  <c r="AA11" i="6" s="1"/>
  <c r="Y8" i="6"/>
  <c r="AA8" i="6" s="1"/>
  <c r="Y5" i="6"/>
  <c r="AA5" i="6" s="1"/>
  <c r="Y6" i="6"/>
  <c r="AA6" i="6" s="1"/>
  <c r="Y15" i="6"/>
  <c r="AA15" i="6" s="1"/>
  <c r="Y12" i="6"/>
  <c r="AA12" i="6" s="1"/>
  <c r="Y9" i="6"/>
  <c r="AA9" i="6" s="1"/>
  <c r="N5" i="15"/>
  <c r="AY5" i="1"/>
  <c r="M13" i="1"/>
  <c r="S13" i="1" s="1"/>
  <c r="AD13" i="1"/>
  <c r="AJ13" i="1" s="1"/>
  <c r="J46" i="13"/>
  <c r="P40" i="14"/>
  <c r="S40" i="14" s="1"/>
  <c r="AG40" i="14"/>
  <c r="AJ40" i="14" s="1"/>
  <c r="J32" i="13"/>
  <c r="A18" i="13"/>
  <c r="A13" i="15"/>
  <c r="B13" i="15" s="1"/>
  <c r="B17" i="13"/>
  <c r="P39" i="1"/>
  <c r="P30" i="1"/>
  <c r="P17" i="1"/>
  <c r="P21" i="1"/>
  <c r="P34" i="1"/>
  <c r="P28" i="14"/>
  <c r="S28" i="14" s="1"/>
  <c r="P28" i="1"/>
  <c r="S28" i="1" s="1"/>
  <c r="O8" i="13"/>
  <c r="H4" i="15"/>
  <c r="M8" i="13"/>
  <c r="J4" i="15" s="1"/>
  <c r="S21" i="1" l="1"/>
  <c r="C26" i="13" s="1"/>
  <c r="S39" i="1"/>
  <c r="C47" i="13" s="1"/>
  <c r="S34" i="1"/>
  <c r="C42" i="13" s="1"/>
  <c r="J17" i="13"/>
  <c r="N17" i="13" s="1"/>
  <c r="AI30" i="14"/>
  <c r="AJ30" i="14" s="1"/>
  <c r="AH17" i="14"/>
  <c r="AJ17" i="14" s="1"/>
  <c r="AU12" i="14"/>
  <c r="AO12" i="14"/>
  <c r="AS12" i="14"/>
  <c r="AR12" i="14"/>
  <c r="AP12" i="14"/>
  <c r="AN12" i="14"/>
  <c r="AQ12" i="14"/>
  <c r="AT12" i="14"/>
  <c r="C15" i="13"/>
  <c r="G15" i="13" s="1"/>
  <c r="AN5" i="1"/>
  <c r="AS5" i="1"/>
  <c r="AU5" i="1"/>
  <c r="AP5" i="1"/>
  <c r="AO5" i="1"/>
  <c r="AR5" i="1"/>
  <c r="AQ5" i="1"/>
  <c r="AT5" i="1"/>
  <c r="L12" i="13"/>
  <c r="AW10" i="14"/>
  <c r="AV11" i="14"/>
  <c r="AW11" i="14" s="1"/>
  <c r="AY13" i="14"/>
  <c r="L11" i="13"/>
  <c r="S16" i="6"/>
  <c r="S14" i="6"/>
  <c r="U14" i="6" s="1"/>
  <c r="S12" i="6"/>
  <c r="U12" i="6" s="1"/>
  <c r="S10" i="6"/>
  <c r="U10" i="6" s="1"/>
  <c r="S8" i="6"/>
  <c r="U8" i="6" s="1"/>
  <c r="S6" i="6"/>
  <c r="U6" i="6" s="1"/>
  <c r="S4" i="6"/>
  <c r="U4" i="6" s="1"/>
  <c r="S17" i="6"/>
  <c r="S15" i="6"/>
  <c r="U15" i="6" s="1"/>
  <c r="S13" i="6"/>
  <c r="U13" i="6" s="1"/>
  <c r="S11" i="6"/>
  <c r="U11" i="6" s="1"/>
  <c r="S9" i="6"/>
  <c r="U9" i="6" s="1"/>
  <c r="S7" i="6"/>
  <c r="U7" i="6" s="1"/>
  <c r="S5" i="6"/>
  <c r="U5" i="6" s="1"/>
  <c r="AY6" i="1"/>
  <c r="Q17" i="14"/>
  <c r="S17" i="14" s="1"/>
  <c r="X11" i="6"/>
  <c r="Z11" i="6" s="1"/>
  <c r="X17" i="6"/>
  <c r="X7" i="6"/>
  <c r="Z7" i="6" s="1"/>
  <c r="X8" i="6"/>
  <c r="Z8" i="6" s="1"/>
  <c r="X5" i="6"/>
  <c r="Z5" i="6" s="1"/>
  <c r="X10" i="6"/>
  <c r="Z10" i="6" s="1"/>
  <c r="X6" i="6"/>
  <c r="Z6" i="6" s="1"/>
  <c r="X15" i="6"/>
  <c r="Z15" i="6" s="1"/>
  <c r="X12" i="6"/>
  <c r="Z12" i="6" s="1"/>
  <c r="X9" i="6"/>
  <c r="Z9" i="6" s="1"/>
  <c r="X14" i="6"/>
  <c r="Z14" i="6" s="1"/>
  <c r="X16" i="6"/>
  <c r="X13" i="6"/>
  <c r="Z13" i="6" s="1"/>
  <c r="L4" i="15"/>
  <c r="N4" i="15" s="1"/>
  <c r="N14" i="1"/>
  <c r="S14" i="1" s="1"/>
  <c r="AE14" i="1"/>
  <c r="AJ14" i="1" s="1"/>
  <c r="J47" i="13"/>
  <c r="J48" i="13"/>
  <c r="C33" i="13"/>
  <c r="B18" i="13"/>
  <c r="A14" i="15"/>
  <c r="B14" i="15" s="1"/>
  <c r="A22" i="13"/>
  <c r="Q35" i="1"/>
  <c r="Q22" i="1"/>
  <c r="Q40" i="1"/>
  <c r="Q18" i="1"/>
  <c r="Q31" i="1"/>
  <c r="Q29" i="14"/>
  <c r="S29" i="14" s="1"/>
  <c r="Q29" i="1"/>
  <c r="S29" i="1" s="1"/>
  <c r="S22" i="1" l="1"/>
  <c r="C27" i="13" s="1"/>
  <c r="S35" i="1"/>
  <c r="C43" i="13" s="1"/>
  <c r="C39" i="13"/>
  <c r="S31" i="1"/>
  <c r="S40" i="1"/>
  <c r="C48" i="13" s="1"/>
  <c r="AP13" i="14"/>
  <c r="AN13" i="14"/>
  <c r="AQ13" i="14"/>
  <c r="AS13" i="14"/>
  <c r="AT13" i="14"/>
  <c r="AU13" i="14"/>
  <c r="AO13" i="14"/>
  <c r="AR13" i="14"/>
  <c r="AI18" i="14"/>
  <c r="AJ18" i="14" s="1"/>
  <c r="AR6" i="1"/>
  <c r="AP6" i="1"/>
  <c r="AU6" i="1"/>
  <c r="AS6" i="1"/>
  <c r="AO6" i="1"/>
  <c r="AN6" i="1"/>
  <c r="AQ6" i="1"/>
  <c r="AT6" i="1"/>
  <c r="C16" i="13"/>
  <c r="G16" i="13" s="1"/>
  <c r="AY14" i="14"/>
  <c r="AV12" i="14"/>
  <c r="AW12" i="14" s="1"/>
  <c r="K13" i="13"/>
  <c r="D9" i="15" s="1"/>
  <c r="F9" i="15" s="1"/>
  <c r="AV5" i="1"/>
  <c r="D7" i="13" s="1"/>
  <c r="E7" i="13" s="1"/>
  <c r="AY7" i="1"/>
  <c r="J18" i="13"/>
  <c r="N18" i="13" s="1"/>
  <c r="B14" i="14"/>
  <c r="R18" i="14"/>
  <c r="S18" i="14" s="1"/>
  <c r="O15" i="1"/>
  <c r="S15" i="1" s="1"/>
  <c r="AF15" i="1"/>
  <c r="AJ15" i="1" s="1"/>
  <c r="C37" i="13"/>
  <c r="J33" i="13"/>
  <c r="B22" i="13"/>
  <c r="A15" i="15"/>
  <c r="B15" i="15" s="1"/>
  <c r="A23" i="13"/>
  <c r="B19" i="13"/>
  <c r="R32" i="1"/>
  <c r="R19" i="1"/>
  <c r="R23" i="1"/>
  <c r="R36" i="1"/>
  <c r="R30" i="14"/>
  <c r="S30" i="14" s="1"/>
  <c r="R30" i="1"/>
  <c r="O10" i="13"/>
  <c r="O11" i="13"/>
  <c r="L7" i="15" s="1"/>
  <c r="H6" i="15"/>
  <c r="M10" i="13"/>
  <c r="J6" i="15" s="1"/>
  <c r="H7" i="15"/>
  <c r="M11" i="13"/>
  <c r="J7" i="15" s="1"/>
  <c r="S30" i="1" l="1"/>
  <c r="C38" i="13" s="1"/>
  <c r="S36" i="1"/>
  <c r="C44" i="13" s="1"/>
  <c r="C24" i="13"/>
  <c r="S19" i="1"/>
  <c r="S32" i="1"/>
  <c r="C40" i="13" s="1"/>
  <c r="S23" i="1"/>
  <c r="C28" i="13" s="1"/>
  <c r="J22" i="13"/>
  <c r="N22" i="13" s="1"/>
  <c r="AU14" i="14"/>
  <c r="AN14" i="14"/>
  <c r="AO14" i="14"/>
  <c r="AS14" i="14"/>
  <c r="AT14" i="14"/>
  <c r="AP14" i="14"/>
  <c r="AR14" i="14"/>
  <c r="AQ14" i="14"/>
  <c r="C17" i="13"/>
  <c r="G17" i="13" s="1"/>
  <c r="BA12" i="1"/>
  <c r="AU7" i="1"/>
  <c r="AN7" i="1"/>
  <c r="AT7" i="1"/>
  <c r="AP7" i="1"/>
  <c r="AS7" i="1"/>
  <c r="AO7" i="1"/>
  <c r="AQ7" i="1"/>
  <c r="AR7" i="1"/>
  <c r="AY15" i="14"/>
  <c r="L13" i="13"/>
  <c r="K14" i="13"/>
  <c r="D10" i="15" s="1"/>
  <c r="F10" i="15" s="1"/>
  <c r="J19" i="13"/>
  <c r="AV13" i="14"/>
  <c r="K15" i="13" s="1"/>
  <c r="D11" i="15" s="1"/>
  <c r="F11" i="15" s="1"/>
  <c r="AV6" i="1"/>
  <c r="AW6" i="1" s="1"/>
  <c r="AY8" i="1"/>
  <c r="J23" i="13"/>
  <c r="L6" i="15"/>
  <c r="N6" i="15" s="1"/>
  <c r="N7" i="15"/>
  <c r="P16" i="1"/>
  <c r="S16" i="1" s="1"/>
  <c r="AW5" i="1"/>
  <c r="AG16" i="1"/>
  <c r="AJ16" i="1" s="1"/>
  <c r="J37" i="13"/>
  <c r="J38" i="13"/>
  <c r="B23" i="13"/>
  <c r="A16" i="15"/>
  <c r="B16" i="15" s="1"/>
  <c r="A24" i="13"/>
  <c r="C3" i="15"/>
  <c r="E3" i="15" s="1"/>
  <c r="G3" i="15"/>
  <c r="Q7" i="13"/>
  <c r="H7" i="13"/>
  <c r="K3" i="15" s="1"/>
  <c r="F7" i="13"/>
  <c r="I3" i="15" s="1"/>
  <c r="N23" i="13" l="1"/>
  <c r="AS15" i="14"/>
  <c r="AT15" i="14"/>
  <c r="AP15" i="14"/>
  <c r="AN15" i="14"/>
  <c r="AQ15" i="14"/>
  <c r="AU15" i="14"/>
  <c r="AR15" i="14"/>
  <c r="AO15" i="14"/>
  <c r="C18" i="13"/>
  <c r="G18" i="13" s="1"/>
  <c r="AO8" i="1"/>
  <c r="AT8" i="1"/>
  <c r="AR8" i="1"/>
  <c r="AS8" i="1"/>
  <c r="AN8" i="1"/>
  <c r="AP8" i="1"/>
  <c r="AQ8" i="1"/>
  <c r="AU8" i="1"/>
  <c r="AY16" i="14"/>
  <c r="AV14" i="14"/>
  <c r="AW14" i="14" s="1"/>
  <c r="L15" i="13"/>
  <c r="L14" i="13"/>
  <c r="AW13" i="14"/>
  <c r="J34" i="13"/>
  <c r="AV7" i="1"/>
  <c r="AW7" i="1" s="1"/>
  <c r="D8" i="13"/>
  <c r="F8" i="13" s="1"/>
  <c r="I4" i="15" s="1"/>
  <c r="AY9" i="1"/>
  <c r="M3" i="15"/>
  <c r="Q17" i="1"/>
  <c r="S17" i="1" s="1"/>
  <c r="AH17" i="1"/>
  <c r="AJ17" i="1" s="1"/>
  <c r="A17" i="15"/>
  <c r="B17" i="15" s="1"/>
  <c r="B24" i="13"/>
  <c r="A25" i="13"/>
  <c r="O12" i="13"/>
  <c r="H8" i="15"/>
  <c r="M12" i="13"/>
  <c r="J8" i="15" s="1"/>
  <c r="N24" i="13" l="1"/>
  <c r="G24" i="13"/>
  <c r="AT16" i="14"/>
  <c r="AQ16" i="14"/>
  <c r="AS16" i="14"/>
  <c r="AN16" i="14"/>
  <c r="AU16" i="14"/>
  <c r="AR16" i="14"/>
  <c r="AP16" i="14"/>
  <c r="AO16" i="14"/>
  <c r="AP9" i="1"/>
  <c r="AS9" i="1"/>
  <c r="AU9" i="1"/>
  <c r="AQ9" i="1"/>
  <c r="AN9" i="1"/>
  <c r="AR9" i="1"/>
  <c r="AO9" i="1"/>
  <c r="AT9" i="1"/>
  <c r="K16" i="13"/>
  <c r="D12" i="15" s="1"/>
  <c r="F12" i="15" s="1"/>
  <c r="E8" i="13"/>
  <c r="G4" i="15" s="1"/>
  <c r="AV15" i="14"/>
  <c r="AW15" i="14" s="1"/>
  <c r="AY17" i="14"/>
  <c r="C19" i="13"/>
  <c r="AV8" i="1"/>
  <c r="D10" i="13" s="1"/>
  <c r="H8" i="13"/>
  <c r="K4" i="15" s="1"/>
  <c r="M4" i="15" s="1"/>
  <c r="C4" i="15"/>
  <c r="E4" i="15" s="1"/>
  <c r="Q8" i="13"/>
  <c r="D9" i="13"/>
  <c r="C5" i="15" s="1"/>
  <c r="E5" i="15" s="1"/>
  <c r="AY10" i="1"/>
  <c r="L8" i="15"/>
  <c r="N8" i="15" s="1"/>
  <c r="R18" i="1"/>
  <c r="S18" i="1" s="1"/>
  <c r="B14" i="1"/>
  <c r="AI18" i="1"/>
  <c r="AJ18" i="1" s="1"/>
  <c r="A18" i="15"/>
  <c r="B18" i="15" s="1"/>
  <c r="B25" i="13"/>
  <c r="A26" i="13"/>
  <c r="O13" i="13"/>
  <c r="L9" i="15" s="1"/>
  <c r="H9" i="15"/>
  <c r="M13" i="13"/>
  <c r="J9" i="15" s="1"/>
  <c r="N25" i="13" l="1"/>
  <c r="G25" i="13"/>
  <c r="AR17" i="14"/>
  <c r="AO17" i="14"/>
  <c r="AT17" i="14"/>
  <c r="AU17" i="14"/>
  <c r="AQ17" i="14"/>
  <c r="AS17" i="14"/>
  <c r="AN17" i="14"/>
  <c r="AP17" i="14"/>
  <c r="C23" i="13"/>
  <c r="G23" i="13" s="1"/>
  <c r="AU10" i="1"/>
  <c r="AS10" i="1"/>
  <c r="AR10" i="1"/>
  <c r="AQ10" i="1"/>
  <c r="AO10" i="1"/>
  <c r="AN10" i="1"/>
  <c r="AT10" i="1"/>
  <c r="AP10" i="1"/>
  <c r="L16" i="13"/>
  <c r="K17" i="13"/>
  <c r="D13" i="15" s="1"/>
  <c r="F13" i="15" s="1"/>
  <c r="AV16" i="14"/>
  <c r="AW16" i="14" s="1"/>
  <c r="AY18" i="14"/>
  <c r="E9" i="13"/>
  <c r="G5" i="15" s="1"/>
  <c r="AV9" i="1"/>
  <c r="AW9" i="1" s="1"/>
  <c r="AW8" i="1"/>
  <c r="H9" i="13"/>
  <c r="K5" i="15" s="1"/>
  <c r="Q9" i="13"/>
  <c r="F9" i="13"/>
  <c r="I5" i="15" s="1"/>
  <c r="AY11" i="1"/>
  <c r="N9" i="15"/>
  <c r="E10" i="13"/>
  <c r="G6" i="15" s="1"/>
  <c r="Q10" i="13"/>
  <c r="C6" i="15"/>
  <c r="E6" i="15" s="1"/>
  <c r="H10" i="13"/>
  <c r="K6" i="15" s="1"/>
  <c r="F10" i="13"/>
  <c r="I6" i="15" s="1"/>
  <c r="C22" i="13"/>
  <c r="G22" i="13" s="1"/>
  <c r="A19" i="15"/>
  <c r="B19" i="15" s="1"/>
  <c r="B26" i="13"/>
  <c r="A27" i="13"/>
  <c r="O14" i="13"/>
  <c r="L10" i="15" s="1"/>
  <c r="H10" i="15"/>
  <c r="M14" i="13"/>
  <c r="J10" i="15" s="1"/>
  <c r="N26" i="13" l="1"/>
  <c r="G26" i="13"/>
  <c r="AP18" i="14"/>
  <c r="AO18" i="14"/>
  <c r="AT18" i="14"/>
  <c r="AQ18" i="14"/>
  <c r="AU18" i="14"/>
  <c r="AR18" i="14"/>
  <c r="AN18" i="14"/>
  <c r="AS18" i="14"/>
  <c r="AO11" i="1"/>
  <c r="AQ11" i="1"/>
  <c r="AT11" i="1"/>
  <c r="AS11" i="1"/>
  <c r="AU11" i="1"/>
  <c r="AN11" i="1"/>
  <c r="AP11" i="1"/>
  <c r="AR11" i="1"/>
  <c r="L17" i="13"/>
  <c r="K18" i="13"/>
  <c r="D14" i="15" s="1"/>
  <c r="F14" i="15" s="1"/>
  <c r="AY19" i="14"/>
  <c r="AV17" i="14"/>
  <c r="AW17" i="14" s="1"/>
  <c r="AV10" i="1"/>
  <c r="AW10" i="1" s="1"/>
  <c r="M5" i="15"/>
  <c r="D11" i="13"/>
  <c r="H11" i="13" s="1"/>
  <c r="K7" i="15" s="1"/>
  <c r="AY12" i="1"/>
  <c r="N10" i="15"/>
  <c r="M6" i="15"/>
  <c r="A20" i="15"/>
  <c r="B20" i="15" s="1"/>
  <c r="B27" i="13"/>
  <c r="A28" i="13"/>
  <c r="O15" i="13"/>
  <c r="H11" i="15"/>
  <c r="M15" i="13"/>
  <c r="J11" i="15" s="1"/>
  <c r="N27" i="13" l="1"/>
  <c r="G27" i="13"/>
  <c r="AU19" i="14"/>
  <c r="AQ19" i="14"/>
  <c r="AN19" i="14"/>
  <c r="AS19" i="14"/>
  <c r="AR19" i="14"/>
  <c r="AT19" i="14"/>
  <c r="AP19" i="14"/>
  <c r="AO19" i="14"/>
  <c r="AY20" i="14"/>
  <c r="AS12" i="1"/>
  <c r="AU12" i="1"/>
  <c r="AP12" i="1"/>
  <c r="AR12" i="1"/>
  <c r="AT12" i="1"/>
  <c r="AQ12" i="1"/>
  <c r="AO12" i="1"/>
  <c r="AN12" i="1"/>
  <c r="E11" i="13"/>
  <c r="G7" i="15" s="1"/>
  <c r="K22" i="13"/>
  <c r="M22" i="13" s="1"/>
  <c r="J15" i="15" s="1"/>
  <c r="AV18" i="14"/>
  <c r="AW18" i="14" s="1"/>
  <c r="L18" i="13"/>
  <c r="AV11" i="1"/>
  <c r="AW11" i="1" s="1"/>
  <c r="C7" i="15"/>
  <c r="E7" i="15" s="1"/>
  <c r="F11" i="13"/>
  <c r="I7" i="15" s="1"/>
  <c r="M7" i="15" s="1"/>
  <c r="Q11" i="13"/>
  <c r="D12" i="13"/>
  <c r="F12" i="13" s="1"/>
  <c r="I8" i="15" s="1"/>
  <c r="AY13" i="1"/>
  <c r="AY21" i="14"/>
  <c r="O22" i="13"/>
  <c r="L15" i="15" s="1"/>
  <c r="L11" i="15"/>
  <c r="N11" i="15" s="1"/>
  <c r="A21" i="15"/>
  <c r="B21" i="15" s="1"/>
  <c r="A29" i="13"/>
  <c r="B28" i="13"/>
  <c r="O16" i="13"/>
  <c r="L12" i="15" s="1"/>
  <c r="H12" i="15"/>
  <c r="M16" i="13"/>
  <c r="J12" i="15" s="1"/>
  <c r="N28" i="13" l="1"/>
  <c r="G28" i="13"/>
  <c r="AR21" i="14"/>
  <c r="AP21" i="14"/>
  <c r="AU21" i="14"/>
  <c r="AQ21" i="14"/>
  <c r="AO21" i="14"/>
  <c r="AS21" i="14"/>
  <c r="AN21" i="14"/>
  <c r="AT21" i="14"/>
  <c r="L22" i="13"/>
  <c r="H15" i="15" s="1"/>
  <c r="AS20" i="14"/>
  <c r="AP20" i="14"/>
  <c r="AU20" i="14"/>
  <c r="AQ20" i="14"/>
  <c r="AT20" i="14"/>
  <c r="AR20" i="14"/>
  <c r="AO20" i="14"/>
  <c r="AN20" i="14"/>
  <c r="AS13" i="1"/>
  <c r="AR13" i="1"/>
  <c r="AU13" i="1"/>
  <c r="AO13" i="1"/>
  <c r="AP13" i="1"/>
  <c r="AQ13" i="1"/>
  <c r="AT13" i="1"/>
  <c r="AN13" i="1"/>
  <c r="D15" i="15"/>
  <c r="F15" i="15" s="1"/>
  <c r="AV19" i="14"/>
  <c r="AW19" i="14" s="1"/>
  <c r="K23" i="13"/>
  <c r="L23" i="13" s="1"/>
  <c r="H16" i="15" s="1"/>
  <c r="AV12" i="1"/>
  <c r="D14" i="13" s="1"/>
  <c r="Q12" i="13"/>
  <c r="C8" i="15"/>
  <c r="E8" i="15" s="1"/>
  <c r="H12" i="13"/>
  <c r="K8" i="15" s="1"/>
  <c r="M8" i="15" s="1"/>
  <c r="E12" i="13"/>
  <c r="G8" i="15" s="1"/>
  <c r="D13" i="13"/>
  <c r="E13" i="13" s="1"/>
  <c r="G9" i="15" s="1"/>
  <c r="AY14" i="1"/>
  <c r="N15" i="15"/>
  <c r="O23" i="13"/>
  <c r="L16" i="15" s="1"/>
  <c r="AY22" i="14"/>
  <c r="N12" i="15"/>
  <c r="A22" i="15"/>
  <c r="B22" i="15" s="1"/>
  <c r="B29" i="13"/>
  <c r="A30" i="13"/>
  <c r="O17" i="13"/>
  <c r="L13" i="15" s="1"/>
  <c r="H13" i="15"/>
  <c r="M17" i="13"/>
  <c r="J13" i="15" s="1"/>
  <c r="G29" i="13" l="1"/>
  <c r="N29" i="13"/>
  <c r="AV20" i="14"/>
  <c r="AW20" i="14" s="1"/>
  <c r="AQ22" i="14"/>
  <c r="AO22" i="14"/>
  <c r="AP22" i="14"/>
  <c r="AS22" i="14"/>
  <c r="AN22" i="14"/>
  <c r="AR22" i="14"/>
  <c r="AU22" i="14"/>
  <c r="AT22" i="14"/>
  <c r="AQ14" i="1"/>
  <c r="AN14" i="1"/>
  <c r="AS14" i="1"/>
  <c r="AR14" i="1"/>
  <c r="AT14" i="1"/>
  <c r="AP14" i="1"/>
  <c r="AO14" i="1"/>
  <c r="AU14" i="1"/>
  <c r="K24" i="13"/>
  <c r="M24" i="13" s="1"/>
  <c r="J17" i="15" s="1"/>
  <c r="M23" i="13"/>
  <c r="J16" i="15" s="1"/>
  <c r="N16" i="15" s="1"/>
  <c r="D16" i="15"/>
  <c r="F16" i="15" s="1"/>
  <c r="AV21" i="14"/>
  <c r="AV13" i="1"/>
  <c r="AW13" i="1" s="1"/>
  <c r="H13" i="13"/>
  <c r="K9" i="15" s="1"/>
  <c r="AW12" i="1"/>
  <c r="Q13" i="13"/>
  <c r="F13" i="13"/>
  <c r="I9" i="15" s="1"/>
  <c r="C9" i="15"/>
  <c r="E9" i="15" s="1"/>
  <c r="AY15" i="1"/>
  <c r="O24" i="13"/>
  <c r="L17" i="15" s="1"/>
  <c r="AY23" i="14"/>
  <c r="N13" i="15"/>
  <c r="C10" i="15"/>
  <c r="E10" i="15" s="1"/>
  <c r="E14" i="13"/>
  <c r="G10" i="15" s="1"/>
  <c r="Q14" i="13"/>
  <c r="F14" i="13"/>
  <c r="I10" i="15" s="1"/>
  <c r="H14" i="13"/>
  <c r="K10" i="15" s="1"/>
  <c r="A23" i="15"/>
  <c r="B23" i="15" s="1"/>
  <c r="B30" i="13"/>
  <c r="A31" i="13"/>
  <c r="M18" i="13"/>
  <c r="K19" i="13"/>
  <c r="L19" i="13" s="1"/>
  <c r="H14" i="15"/>
  <c r="G30" i="13" l="1"/>
  <c r="N30" i="13"/>
  <c r="K25" i="13"/>
  <c r="M25" i="13" s="1"/>
  <c r="J18" i="15" s="1"/>
  <c r="AR23" i="14"/>
  <c r="AQ23" i="14"/>
  <c r="AN23" i="14"/>
  <c r="AP23" i="14"/>
  <c r="AU23" i="14"/>
  <c r="AT23" i="14"/>
  <c r="AO23" i="14"/>
  <c r="AS23" i="14"/>
  <c r="AN15" i="1"/>
  <c r="AS15" i="1"/>
  <c r="AU15" i="1"/>
  <c r="AP15" i="1"/>
  <c r="AQ15" i="1"/>
  <c r="AR15" i="1"/>
  <c r="AO15" i="1"/>
  <c r="AT15" i="1"/>
  <c r="D17" i="15"/>
  <c r="F17" i="15" s="1"/>
  <c r="L24" i="13"/>
  <c r="H17" i="15" s="1"/>
  <c r="AV22" i="14"/>
  <c r="AV14" i="1"/>
  <c r="D16" i="13" s="1"/>
  <c r="M9" i="15"/>
  <c r="D15" i="13"/>
  <c r="Q15" i="13" s="1"/>
  <c r="AY16" i="1"/>
  <c r="N17" i="15"/>
  <c r="O25" i="13"/>
  <c r="L18" i="15" s="1"/>
  <c r="AY24" i="14"/>
  <c r="AW21" i="14"/>
  <c r="K26" i="13"/>
  <c r="N19" i="13"/>
  <c r="O18" i="13"/>
  <c r="M10" i="15"/>
  <c r="A24" i="15"/>
  <c r="B24" i="15" s="1"/>
  <c r="A32" i="13"/>
  <c r="B31" i="13"/>
  <c r="M19" i="13"/>
  <c r="J14" i="15"/>
  <c r="L20" i="13"/>
  <c r="L25" i="13" l="1"/>
  <c r="H18" i="15" s="1"/>
  <c r="G31" i="13"/>
  <c r="N31" i="13"/>
  <c r="D18" i="15"/>
  <c r="F18" i="15" s="1"/>
  <c r="AT24" i="14"/>
  <c r="AR24" i="14"/>
  <c r="AP24" i="14"/>
  <c r="AU24" i="14"/>
  <c r="AS24" i="14"/>
  <c r="AQ24" i="14"/>
  <c r="AO24" i="14"/>
  <c r="AN24" i="14"/>
  <c r="AT16" i="1"/>
  <c r="AR16" i="1"/>
  <c r="AU16" i="1"/>
  <c r="AQ16" i="1"/>
  <c r="AN16" i="1"/>
  <c r="AS16" i="1"/>
  <c r="AO16" i="1"/>
  <c r="AP16" i="1"/>
  <c r="E15" i="13"/>
  <c r="G11" i="15" s="1"/>
  <c r="AV23" i="14"/>
  <c r="F15" i="13"/>
  <c r="I11" i="15" s="1"/>
  <c r="AV15" i="1"/>
  <c r="AW15" i="1" s="1"/>
  <c r="C11" i="15"/>
  <c r="E11" i="15" s="1"/>
  <c r="H15" i="13"/>
  <c r="K11" i="15" s="1"/>
  <c r="AW14" i="1"/>
  <c r="AY17" i="1"/>
  <c r="M26" i="13"/>
  <c r="J19" i="15" s="1"/>
  <c r="O26" i="13"/>
  <c r="L19" i="15" s="1"/>
  <c r="D19" i="15"/>
  <c r="F19" i="15" s="1"/>
  <c r="L26" i="13"/>
  <c r="H19" i="15" s="1"/>
  <c r="AY25" i="14"/>
  <c r="N18" i="15"/>
  <c r="AW22" i="14"/>
  <c r="K27" i="13"/>
  <c r="L14" i="15"/>
  <c r="N14" i="15" s="1"/>
  <c r="O19" i="13"/>
  <c r="E16" i="13"/>
  <c r="G12" i="15" s="1"/>
  <c r="C12" i="15"/>
  <c r="E12" i="15" s="1"/>
  <c r="Q16" i="13"/>
  <c r="F16" i="13"/>
  <c r="H16" i="13"/>
  <c r="K12" i="15" s="1"/>
  <c r="A25" i="15"/>
  <c r="B25" i="15" s="1"/>
  <c r="B32" i="13"/>
  <c r="A33" i="13"/>
  <c r="C34" i="13"/>
  <c r="G32" i="13" l="1"/>
  <c r="N32" i="13"/>
  <c r="AO25" i="14"/>
  <c r="AN25" i="14"/>
  <c r="AT25" i="14"/>
  <c r="AR25" i="14"/>
  <c r="AP25" i="14"/>
  <c r="AQ25" i="14"/>
  <c r="AS25" i="14"/>
  <c r="AU25" i="14"/>
  <c r="AR17" i="1"/>
  <c r="AT17" i="1"/>
  <c r="AO17" i="1"/>
  <c r="AN17" i="1"/>
  <c r="AS17" i="1"/>
  <c r="AU17" i="1"/>
  <c r="AP17" i="1"/>
  <c r="AQ17" i="1"/>
  <c r="M11" i="15"/>
  <c r="AV24" i="14"/>
  <c r="AV16" i="1"/>
  <c r="D18" i="13" s="1"/>
  <c r="D17" i="13"/>
  <c r="C13" i="15" s="1"/>
  <c r="E13" i="15" s="1"/>
  <c r="N19" i="15"/>
  <c r="AY18" i="1"/>
  <c r="D20" i="15"/>
  <c r="F20" i="15" s="1"/>
  <c r="O27" i="13"/>
  <c r="L20" i="15" s="1"/>
  <c r="L27" i="13"/>
  <c r="H20" i="15" s="1"/>
  <c r="M27" i="13"/>
  <c r="J20" i="15" s="1"/>
  <c r="AY26" i="14"/>
  <c r="AW23" i="14"/>
  <c r="K28" i="13"/>
  <c r="I12" i="15"/>
  <c r="M12" i="15" s="1"/>
  <c r="A26" i="15"/>
  <c r="B26" i="15" s="1"/>
  <c r="B33" i="13"/>
  <c r="A37" i="13"/>
  <c r="B32" i="10"/>
  <c r="B33" i="10" s="1"/>
  <c r="B34" i="10" s="1"/>
  <c r="B35" i="10" s="1"/>
  <c r="B36" i="10" s="1"/>
  <c r="B37" i="10" s="1"/>
  <c r="B38" i="10" s="1"/>
  <c r="B39" i="10" s="1"/>
  <c r="B40" i="10" s="1"/>
  <c r="B41" i="10" s="1"/>
  <c r="B42" i="10" s="1"/>
  <c r="B44" i="10" s="1"/>
  <c r="B45" i="10" s="1"/>
  <c r="B46" i="10" s="1"/>
  <c r="B47" i="10" s="1"/>
  <c r="B48" i="10" s="1"/>
  <c r="B49" i="10" s="1"/>
  <c r="B50" i="10" s="1"/>
  <c r="B51" i="10" s="1"/>
  <c r="B52" i="10" s="1"/>
  <c r="B53" i="10" s="1"/>
  <c r="B54" i="10" s="1"/>
  <c r="B55" i="10" s="1"/>
  <c r="G33" i="13" l="1"/>
  <c r="N33" i="13"/>
  <c r="AP26" i="14"/>
  <c r="AN26" i="14"/>
  <c r="AQ26" i="14"/>
  <c r="AT26" i="14"/>
  <c r="AS26" i="14"/>
  <c r="AU26" i="14"/>
  <c r="AO26" i="14"/>
  <c r="AR26" i="14"/>
  <c r="AS18" i="1"/>
  <c r="AT18" i="1"/>
  <c r="AN18" i="1"/>
  <c r="AP18" i="1"/>
  <c r="AR18" i="1"/>
  <c r="AU18" i="1"/>
  <c r="AO18" i="1"/>
  <c r="AQ18" i="1"/>
  <c r="E17" i="13"/>
  <c r="G13" i="15" s="1"/>
  <c r="AV25" i="14"/>
  <c r="AW16" i="1"/>
  <c r="AV17" i="1"/>
  <c r="D22" i="13" s="1"/>
  <c r="H17" i="13"/>
  <c r="K13" i="15" s="1"/>
  <c r="Q17" i="13"/>
  <c r="F17" i="13"/>
  <c r="I13" i="15" s="1"/>
  <c r="AY19" i="1"/>
  <c r="N20" i="15"/>
  <c r="AY27" i="14"/>
  <c r="D21" i="15"/>
  <c r="F21" i="15" s="1"/>
  <c r="M28" i="13"/>
  <c r="J21" i="15" s="1"/>
  <c r="O28" i="13"/>
  <c r="L21" i="15" s="1"/>
  <c r="L28" i="13"/>
  <c r="H21" i="15" s="1"/>
  <c r="AW24" i="14"/>
  <c r="K29" i="13"/>
  <c r="E18" i="13"/>
  <c r="G14" i="15" s="1"/>
  <c r="C14" i="15"/>
  <c r="E14" i="15" s="1"/>
  <c r="Q18" i="13"/>
  <c r="F18" i="13"/>
  <c r="D19" i="13"/>
  <c r="A27" i="15"/>
  <c r="B27" i="15" s="1"/>
  <c r="A38" i="13"/>
  <c r="B37" i="13"/>
  <c r="B34" i="13"/>
  <c r="G37" i="13" l="1"/>
  <c r="N37" i="13"/>
  <c r="AO27" i="14"/>
  <c r="AN27" i="14"/>
  <c r="AS27" i="14"/>
  <c r="AR27" i="14"/>
  <c r="AT27" i="14"/>
  <c r="AP27" i="14"/>
  <c r="AU27" i="14"/>
  <c r="AQ27" i="14"/>
  <c r="AQ19" i="1"/>
  <c r="AS19" i="1"/>
  <c r="AO19" i="1"/>
  <c r="AR19" i="1"/>
  <c r="AU19" i="1"/>
  <c r="AN19" i="1"/>
  <c r="AT19" i="1"/>
  <c r="AP19" i="1"/>
  <c r="AV26" i="14"/>
  <c r="AV18" i="1"/>
  <c r="AW18" i="1" s="1"/>
  <c r="M13" i="15"/>
  <c r="AW17" i="1"/>
  <c r="AY20" i="1"/>
  <c r="D22" i="15"/>
  <c r="F22" i="15" s="1"/>
  <c r="O29" i="13"/>
  <c r="L22" i="15" s="1"/>
  <c r="L29" i="13"/>
  <c r="H22" i="15" s="1"/>
  <c r="M29" i="13"/>
  <c r="J22" i="15" s="1"/>
  <c r="N21" i="15"/>
  <c r="AY28" i="14"/>
  <c r="AW25" i="14"/>
  <c r="K30" i="13"/>
  <c r="G19" i="13"/>
  <c r="H18" i="13"/>
  <c r="E19" i="13"/>
  <c r="E20" i="13" s="1"/>
  <c r="Q19" i="13"/>
  <c r="I14" i="15"/>
  <c r="F19" i="13"/>
  <c r="C15" i="15"/>
  <c r="E15" i="15" s="1"/>
  <c r="Q22" i="13"/>
  <c r="F22" i="13"/>
  <c r="I15" i="15" s="1"/>
  <c r="H22" i="13"/>
  <c r="K15" i="15" s="1"/>
  <c r="E22" i="13"/>
  <c r="G15" i="15" s="1"/>
  <c r="A28" i="15"/>
  <c r="B28" i="15" s="1"/>
  <c r="B38" i="13"/>
  <c r="A39" i="13"/>
  <c r="J49" i="13"/>
  <c r="G38" i="13" l="1"/>
  <c r="N38" i="13"/>
  <c r="AO28" i="14"/>
  <c r="AS28" i="14"/>
  <c r="AQ28" i="14"/>
  <c r="AP28" i="14"/>
  <c r="AT28" i="14"/>
  <c r="AU28" i="14"/>
  <c r="AN28" i="14"/>
  <c r="AR28" i="14"/>
  <c r="AP20" i="1"/>
  <c r="AN20" i="1"/>
  <c r="AS20" i="1"/>
  <c r="AU20" i="1"/>
  <c r="AR20" i="1"/>
  <c r="AO20" i="1"/>
  <c r="AT20" i="1"/>
  <c r="AQ20" i="1"/>
  <c r="AV27" i="14"/>
  <c r="D23" i="13"/>
  <c r="F23" i="13" s="1"/>
  <c r="I16" i="15" s="1"/>
  <c r="AV19" i="1"/>
  <c r="AW19" i="1" s="1"/>
  <c r="AY21" i="1"/>
  <c r="N22" i="15"/>
  <c r="M30" i="13"/>
  <c r="J23" i="15" s="1"/>
  <c r="O30" i="13"/>
  <c r="L23" i="15" s="1"/>
  <c r="D23" i="15"/>
  <c r="F23" i="15" s="1"/>
  <c r="L30" i="13"/>
  <c r="H23" i="15" s="1"/>
  <c r="AY29" i="14"/>
  <c r="AW26" i="14"/>
  <c r="K31" i="13"/>
  <c r="M15" i="15"/>
  <c r="H19" i="13"/>
  <c r="K14" i="15"/>
  <c r="M14" i="15" s="1"/>
  <c r="A29" i="15"/>
  <c r="B29" i="15" s="1"/>
  <c r="B39" i="13"/>
  <c r="A40" i="13"/>
  <c r="N39" i="13" l="1"/>
  <c r="G39" i="13"/>
  <c r="AP29" i="14"/>
  <c r="AR29" i="14"/>
  <c r="AQ29" i="14"/>
  <c r="AU29" i="14"/>
  <c r="AO29" i="14"/>
  <c r="AN29" i="14"/>
  <c r="AT29" i="14"/>
  <c r="AS29" i="14"/>
  <c r="AU21" i="1"/>
  <c r="AQ21" i="1"/>
  <c r="AN21" i="1"/>
  <c r="AS21" i="1"/>
  <c r="AP21" i="1"/>
  <c r="AR21" i="1"/>
  <c r="AO21" i="1"/>
  <c r="AT21" i="1"/>
  <c r="C16" i="15"/>
  <c r="E16" i="15" s="1"/>
  <c r="E23" i="13"/>
  <c r="G16" i="15" s="1"/>
  <c r="AV28" i="14"/>
  <c r="K33" i="13" s="1"/>
  <c r="Q23" i="13"/>
  <c r="H23" i="13"/>
  <c r="K16" i="15" s="1"/>
  <c r="M16" i="15" s="1"/>
  <c r="D24" i="13"/>
  <c r="Q24" i="13" s="1"/>
  <c r="AV20" i="1"/>
  <c r="D25" i="13" s="1"/>
  <c r="AY22" i="1"/>
  <c r="N23" i="15"/>
  <c r="AY30" i="14"/>
  <c r="O31" i="13"/>
  <c r="L24" i="15" s="1"/>
  <c r="D24" i="15"/>
  <c r="F24" i="15" s="1"/>
  <c r="M31" i="13"/>
  <c r="L31" i="13"/>
  <c r="H24" i="15" s="1"/>
  <c r="AW27" i="14"/>
  <c r="K32" i="13"/>
  <c r="A30" i="15"/>
  <c r="B30" i="15" s="1"/>
  <c r="B40" i="13"/>
  <c r="A41" i="13"/>
  <c r="N40" i="13" l="1"/>
  <c r="G40" i="13"/>
  <c r="AR30" i="14"/>
  <c r="AU30" i="14"/>
  <c r="AN30" i="14"/>
  <c r="AQ30" i="14"/>
  <c r="AP30" i="14"/>
  <c r="AT30" i="14"/>
  <c r="AS30" i="14"/>
  <c r="AO30" i="14"/>
  <c r="AQ22" i="1"/>
  <c r="AP22" i="1"/>
  <c r="AU22" i="1"/>
  <c r="AS22" i="1"/>
  <c r="AN22" i="1"/>
  <c r="AR22" i="1"/>
  <c r="AT22" i="1"/>
  <c r="AO22" i="1"/>
  <c r="E24" i="13"/>
  <c r="G17" i="15" s="1"/>
  <c r="AV29" i="14"/>
  <c r="H24" i="13"/>
  <c r="K17" i="15" s="1"/>
  <c r="C17" i="15"/>
  <c r="E17" i="15" s="1"/>
  <c r="F24" i="13"/>
  <c r="I17" i="15" s="1"/>
  <c r="AV21" i="1"/>
  <c r="AW21" i="1" s="1"/>
  <c r="AW20" i="1"/>
  <c r="AY23" i="1"/>
  <c r="AW28" i="14"/>
  <c r="K34" i="13"/>
  <c r="L34" i="13" s="1"/>
  <c r="L35" i="13" s="1"/>
  <c r="M33" i="13"/>
  <c r="J26" i="15" s="1"/>
  <c r="D26" i="15"/>
  <c r="F26" i="15" s="1"/>
  <c r="L33" i="13"/>
  <c r="H26" i="15" s="1"/>
  <c r="O33" i="13"/>
  <c r="L26" i="15" s="1"/>
  <c r="L32" i="13"/>
  <c r="H25" i="15" s="1"/>
  <c r="M32" i="13"/>
  <c r="J25" i="15" s="1"/>
  <c r="D25" i="15"/>
  <c r="F25" i="15" s="1"/>
  <c r="J24" i="15"/>
  <c r="N24" i="15" s="1"/>
  <c r="AY31" i="14"/>
  <c r="C18" i="15"/>
  <c r="E18" i="15" s="1"/>
  <c r="F25" i="13"/>
  <c r="I18" i="15" s="1"/>
  <c r="E25" i="13"/>
  <c r="G18" i="15" s="1"/>
  <c r="H25" i="13"/>
  <c r="K18" i="15" s="1"/>
  <c r="Q25" i="13"/>
  <c r="A31" i="15"/>
  <c r="B31" i="15" s="1"/>
  <c r="B41" i="13"/>
  <c r="A42" i="13"/>
  <c r="N41" i="13" l="1"/>
  <c r="G41" i="13"/>
  <c r="AQ31" i="14"/>
  <c r="AR31" i="14"/>
  <c r="AO31" i="14"/>
  <c r="AU31" i="14"/>
  <c r="AN31" i="14"/>
  <c r="AS31" i="14"/>
  <c r="AP31" i="14"/>
  <c r="AT31" i="14"/>
  <c r="AP23" i="1"/>
  <c r="AT23" i="1"/>
  <c r="AR23" i="1"/>
  <c r="AN23" i="1"/>
  <c r="AQ23" i="1"/>
  <c r="AO23" i="1"/>
  <c r="AS23" i="1"/>
  <c r="AU23" i="1"/>
  <c r="D26" i="13"/>
  <c r="E26" i="13" s="1"/>
  <c r="G19" i="15" s="1"/>
  <c r="M17" i="15"/>
  <c r="AV30" i="14"/>
  <c r="AV22" i="1"/>
  <c r="AW22" i="1" s="1"/>
  <c r="AY24" i="1"/>
  <c r="N26" i="15"/>
  <c r="AY32" i="14"/>
  <c r="AW29" i="14"/>
  <c r="K37" i="13"/>
  <c r="O32" i="13"/>
  <c r="N34" i="13"/>
  <c r="M34" i="13"/>
  <c r="M18" i="15"/>
  <c r="A32" i="15"/>
  <c r="B32" i="15" s="1"/>
  <c r="A43" i="13"/>
  <c r="B42" i="13"/>
  <c r="N42" i="13" l="1"/>
  <c r="G42" i="13"/>
  <c r="AO32" i="14"/>
  <c r="AT32" i="14"/>
  <c r="AR32" i="14"/>
  <c r="AU32" i="14"/>
  <c r="AS32" i="14"/>
  <c r="AQ32" i="14"/>
  <c r="AN32" i="14"/>
  <c r="AP32" i="14"/>
  <c r="AQ24" i="1"/>
  <c r="AP24" i="1"/>
  <c r="AU24" i="1"/>
  <c r="AT24" i="1"/>
  <c r="AS24" i="1"/>
  <c r="AR24" i="1"/>
  <c r="AN24" i="1"/>
  <c r="AO24" i="1"/>
  <c r="Q26" i="13"/>
  <c r="C19" i="15"/>
  <c r="E19" i="15" s="1"/>
  <c r="F26" i="13"/>
  <c r="I19" i="15" s="1"/>
  <c r="H26" i="13"/>
  <c r="K19" i="15" s="1"/>
  <c r="AV31" i="14"/>
  <c r="AV23" i="1"/>
  <c r="AW23" i="1" s="1"/>
  <c r="D27" i="13"/>
  <c r="C20" i="15" s="1"/>
  <c r="E20" i="15" s="1"/>
  <c r="AY25" i="1"/>
  <c r="D27" i="15"/>
  <c r="F27" i="15" s="1"/>
  <c r="O37" i="13"/>
  <c r="L27" i="15" s="1"/>
  <c r="L37" i="13"/>
  <c r="H27" i="15" s="1"/>
  <c r="M37" i="13"/>
  <c r="J27" i="15" s="1"/>
  <c r="AW30" i="14"/>
  <c r="K38" i="13"/>
  <c r="L25" i="15"/>
  <c r="N25" i="15" s="1"/>
  <c r="O34" i="13"/>
  <c r="AY33" i="14"/>
  <c r="A33" i="15"/>
  <c r="B33" i="15" s="1"/>
  <c r="B43" i="13"/>
  <c r="A44" i="13"/>
  <c r="N43" i="13" l="1"/>
  <c r="G43" i="13"/>
  <c r="AS33" i="14"/>
  <c r="AT33" i="14"/>
  <c r="AP33" i="14"/>
  <c r="AQ33" i="14"/>
  <c r="AR33" i="14"/>
  <c r="AO33" i="14"/>
  <c r="AU33" i="14"/>
  <c r="AN33" i="14"/>
  <c r="AN25" i="1"/>
  <c r="AO25" i="1"/>
  <c r="AT25" i="1"/>
  <c r="AU25" i="1"/>
  <c r="AS25" i="1"/>
  <c r="AP25" i="1"/>
  <c r="AR25" i="1"/>
  <c r="AQ25" i="1"/>
  <c r="E27" i="13"/>
  <c r="G20" i="15" s="1"/>
  <c r="M19" i="15"/>
  <c r="AV32" i="14"/>
  <c r="AV24" i="1"/>
  <c r="AW24" i="1" s="1"/>
  <c r="F27" i="13"/>
  <c r="I20" i="15" s="1"/>
  <c r="H27" i="13"/>
  <c r="K20" i="15" s="1"/>
  <c r="Q27" i="13"/>
  <c r="D28" i="13"/>
  <c r="Q28" i="13" s="1"/>
  <c r="AY26" i="1"/>
  <c r="N27" i="15"/>
  <c r="O38" i="13"/>
  <c r="L28" i="15" s="1"/>
  <c r="L38" i="13"/>
  <c r="H28" i="15" s="1"/>
  <c r="D28" i="15"/>
  <c r="F28" i="15" s="1"/>
  <c r="M38" i="13"/>
  <c r="J28" i="15" s="1"/>
  <c r="AY34" i="14"/>
  <c r="AW31" i="14"/>
  <c r="K39" i="13"/>
  <c r="A34" i="15"/>
  <c r="B34" i="15" s="1"/>
  <c r="A45" i="13"/>
  <c r="B44" i="13"/>
  <c r="N44" i="13" l="1"/>
  <c r="G44" i="13"/>
  <c r="AP34" i="14"/>
  <c r="AO34" i="14"/>
  <c r="AN34" i="14"/>
  <c r="AQ34" i="14"/>
  <c r="AR34" i="14"/>
  <c r="AS34" i="14"/>
  <c r="AT34" i="14"/>
  <c r="AU34" i="14"/>
  <c r="AO26" i="1"/>
  <c r="AS26" i="1"/>
  <c r="AT26" i="1"/>
  <c r="AR26" i="1"/>
  <c r="AU26" i="1"/>
  <c r="AQ26" i="1"/>
  <c r="AP26" i="1"/>
  <c r="AN26" i="1"/>
  <c r="D29" i="13"/>
  <c r="F29" i="13" s="1"/>
  <c r="E28" i="13"/>
  <c r="G21" i="15" s="1"/>
  <c r="AV33" i="14"/>
  <c r="AW33" i="14" s="1"/>
  <c r="M20" i="15"/>
  <c r="AV25" i="1"/>
  <c r="D30" i="13" s="1"/>
  <c r="Q30" i="13" s="1"/>
  <c r="H28" i="13"/>
  <c r="K21" i="15" s="1"/>
  <c r="C21" i="15"/>
  <c r="E21" i="15" s="1"/>
  <c r="F28" i="13"/>
  <c r="I21" i="15" s="1"/>
  <c r="AY27" i="1"/>
  <c r="N28" i="15"/>
  <c r="D29" i="15"/>
  <c r="F29" i="15" s="1"/>
  <c r="O39" i="13"/>
  <c r="L29" i="15" s="1"/>
  <c r="L39" i="13"/>
  <c r="H29" i="15" s="1"/>
  <c r="M39" i="13"/>
  <c r="J29" i="15" s="1"/>
  <c r="AW32" i="14"/>
  <c r="K40" i="13"/>
  <c r="AY35" i="14"/>
  <c r="A35" i="15"/>
  <c r="B35" i="15" s="1"/>
  <c r="B45" i="13"/>
  <c r="A46" i="13"/>
  <c r="G45" i="13" l="1"/>
  <c r="N45" i="13"/>
  <c r="AQ35" i="14"/>
  <c r="AT35" i="14"/>
  <c r="AN35" i="14"/>
  <c r="AP35" i="14"/>
  <c r="AU35" i="14"/>
  <c r="AR35" i="14"/>
  <c r="AO35" i="14"/>
  <c r="AS35" i="14"/>
  <c r="AR27" i="1"/>
  <c r="AT27" i="1"/>
  <c r="AP27" i="1"/>
  <c r="AN27" i="1"/>
  <c r="AS27" i="1"/>
  <c r="AO27" i="1"/>
  <c r="AQ27" i="1"/>
  <c r="AU27" i="1"/>
  <c r="H29" i="13"/>
  <c r="K22" i="15" s="1"/>
  <c r="Q29" i="13"/>
  <c r="E29" i="13"/>
  <c r="G22" i="15" s="1"/>
  <c r="C22" i="15"/>
  <c r="E22" i="15" s="1"/>
  <c r="AW25" i="1"/>
  <c r="E30" i="13"/>
  <c r="G23" i="15" s="1"/>
  <c r="AV34" i="14"/>
  <c r="C23" i="15"/>
  <c r="E23" i="15" s="1"/>
  <c r="F30" i="13"/>
  <c r="I23" i="15" s="1"/>
  <c r="H30" i="13"/>
  <c r="K23" i="15" s="1"/>
  <c r="AV26" i="1"/>
  <c r="AW26" i="1" s="1"/>
  <c r="M21" i="15"/>
  <c r="K41" i="13"/>
  <c r="M41" i="13" s="1"/>
  <c r="J31" i="15" s="1"/>
  <c r="AY28" i="1"/>
  <c r="N29" i="15"/>
  <c r="L40" i="13"/>
  <c r="H30" i="15" s="1"/>
  <c r="O40" i="13"/>
  <c r="L30" i="15" s="1"/>
  <c r="M40" i="13"/>
  <c r="J30" i="15" s="1"/>
  <c r="D30" i="15"/>
  <c r="F30" i="15" s="1"/>
  <c r="AY36" i="14"/>
  <c r="I22" i="15"/>
  <c r="A36" i="15"/>
  <c r="B36" i="15" s="1"/>
  <c r="B46" i="13"/>
  <c r="A47" i="13"/>
  <c r="C49" i="13"/>
  <c r="G46" i="13" l="1"/>
  <c r="N46" i="13"/>
  <c r="AS36" i="14"/>
  <c r="AR36" i="14"/>
  <c r="AP36" i="14"/>
  <c r="AT36" i="14"/>
  <c r="AU36" i="14"/>
  <c r="AN36" i="14"/>
  <c r="AO36" i="14"/>
  <c r="AQ36" i="14"/>
  <c r="AP28" i="1"/>
  <c r="AO28" i="1"/>
  <c r="AR28" i="1"/>
  <c r="AS28" i="1"/>
  <c r="AT28" i="1"/>
  <c r="AN28" i="1"/>
  <c r="AQ28" i="1"/>
  <c r="AU28" i="1"/>
  <c r="M22" i="15"/>
  <c r="AV35" i="14"/>
  <c r="M23" i="15"/>
  <c r="AV27" i="1"/>
  <c r="D32" i="13" s="1"/>
  <c r="D31" i="13"/>
  <c r="C24" i="15" s="1"/>
  <c r="E24" i="15" s="1"/>
  <c r="D31" i="15"/>
  <c r="F31" i="15" s="1"/>
  <c r="O41" i="13"/>
  <c r="L31" i="15" s="1"/>
  <c r="N31" i="15" s="1"/>
  <c r="L41" i="13"/>
  <c r="H31" i="15" s="1"/>
  <c r="AY29" i="1"/>
  <c r="AY37" i="14"/>
  <c r="N30" i="15"/>
  <c r="AW34" i="14"/>
  <c r="K42" i="13"/>
  <c r="A37" i="15"/>
  <c r="B37" i="15" s="1"/>
  <c r="B47" i="13"/>
  <c r="A48" i="13"/>
  <c r="G47" i="13" l="1"/>
  <c r="N47" i="13"/>
  <c r="AP37" i="14"/>
  <c r="AU37" i="14"/>
  <c r="AS37" i="14"/>
  <c r="AO37" i="14"/>
  <c r="AR37" i="14"/>
  <c r="AT37" i="14"/>
  <c r="AN37" i="14"/>
  <c r="AQ37" i="14"/>
  <c r="AR29" i="1"/>
  <c r="AN29" i="1"/>
  <c r="AP29" i="1"/>
  <c r="AU29" i="1"/>
  <c r="AO29" i="1"/>
  <c r="AQ29" i="1"/>
  <c r="AS29" i="1"/>
  <c r="AT29" i="1"/>
  <c r="E31" i="13"/>
  <c r="G24" i="15" s="1"/>
  <c r="AV36" i="14"/>
  <c r="AV28" i="1"/>
  <c r="AW28" i="1" s="1"/>
  <c r="F31" i="13"/>
  <c r="I24" i="15" s="1"/>
  <c r="Q31" i="13"/>
  <c r="H31" i="13"/>
  <c r="K24" i="15" s="1"/>
  <c r="AW27" i="1"/>
  <c r="AY30" i="1"/>
  <c r="M42" i="13"/>
  <c r="J32" i="15" s="1"/>
  <c r="D32" i="15"/>
  <c r="F32" i="15" s="1"/>
  <c r="O42" i="13"/>
  <c r="L32" i="15" s="1"/>
  <c r="L42" i="13"/>
  <c r="H32" i="15" s="1"/>
  <c r="AW35" i="14"/>
  <c r="K43" i="13"/>
  <c r="AY38" i="14"/>
  <c r="H32" i="13"/>
  <c r="K25" i="15" s="1"/>
  <c r="Q32" i="13"/>
  <c r="C25" i="15"/>
  <c r="E25" i="15" s="1"/>
  <c r="E32" i="13"/>
  <c r="G25" i="15" s="1"/>
  <c r="F32" i="13"/>
  <c r="I25" i="15" s="1"/>
  <c r="B48" i="13"/>
  <c r="A38" i="15"/>
  <c r="B38" i="15" s="1"/>
  <c r="N48" i="13" l="1"/>
  <c r="G48" i="13"/>
  <c r="AO38" i="14"/>
  <c r="AS38" i="14"/>
  <c r="AP38" i="14"/>
  <c r="AU38" i="14"/>
  <c r="AN38" i="14"/>
  <c r="AT38" i="14"/>
  <c r="AR38" i="14"/>
  <c r="AQ38" i="14"/>
  <c r="AU30" i="1"/>
  <c r="AQ30" i="1"/>
  <c r="AT30" i="1"/>
  <c r="AS30" i="1"/>
  <c r="AP30" i="1"/>
  <c r="AR30" i="1"/>
  <c r="AO30" i="1"/>
  <c r="AN30" i="1"/>
  <c r="AV37" i="14"/>
  <c r="M24" i="15"/>
  <c r="AV29" i="1"/>
  <c r="AW29" i="1" s="1"/>
  <c r="D33" i="13"/>
  <c r="C26" i="15" s="1"/>
  <c r="E26" i="15" s="1"/>
  <c r="AY31" i="1"/>
  <c r="N32" i="15"/>
  <c r="AW36" i="14"/>
  <c r="K44" i="13"/>
  <c r="D33" i="15"/>
  <c r="F33" i="15" s="1"/>
  <c r="L43" i="13"/>
  <c r="H33" i="15" s="1"/>
  <c r="M43" i="13"/>
  <c r="J33" i="15" s="1"/>
  <c r="O43" i="13"/>
  <c r="L33" i="15" s="1"/>
  <c r="AY39" i="14"/>
  <c r="M25" i="15"/>
  <c r="B49" i="13"/>
  <c r="AP39" i="14" l="1"/>
  <c r="AR39" i="14"/>
  <c r="AN39" i="14"/>
  <c r="AS39" i="14"/>
  <c r="AO39" i="14"/>
  <c r="AQ39" i="14"/>
  <c r="AT39" i="14"/>
  <c r="AU39" i="14"/>
  <c r="AN31" i="1"/>
  <c r="AO31" i="1"/>
  <c r="AS31" i="1"/>
  <c r="AQ31" i="1"/>
  <c r="AT31" i="1"/>
  <c r="AP31" i="1"/>
  <c r="AR31" i="1"/>
  <c r="AU31" i="1"/>
  <c r="E33" i="13"/>
  <c r="G26" i="15" s="1"/>
  <c r="AV38" i="14"/>
  <c r="AV30" i="1"/>
  <c r="D38" i="13" s="1"/>
  <c r="D34" i="13"/>
  <c r="Q34" i="13" s="1"/>
  <c r="Q33" i="13"/>
  <c r="G34" i="13"/>
  <c r="F33" i="13"/>
  <c r="F34" i="13" s="1"/>
  <c r="D37" i="13"/>
  <c r="C27" i="15" s="1"/>
  <c r="E27" i="15" s="1"/>
  <c r="AY32" i="1"/>
  <c r="AY40" i="14"/>
  <c r="L44" i="13"/>
  <c r="H34" i="15" s="1"/>
  <c r="O44" i="13"/>
  <c r="L34" i="15" s="1"/>
  <c r="M44" i="13"/>
  <c r="J34" i="15" s="1"/>
  <c r="D34" i="15"/>
  <c r="F34" i="15" s="1"/>
  <c r="N33" i="15"/>
  <c r="AW37" i="14"/>
  <c r="K45" i="13"/>
  <c r="AT40" i="14" l="1"/>
  <c r="AP40" i="14"/>
  <c r="AO40" i="14"/>
  <c r="AS40" i="14"/>
  <c r="AR40" i="14"/>
  <c r="AN40" i="14"/>
  <c r="AU40" i="14"/>
  <c r="AQ40" i="14"/>
  <c r="AO32" i="1"/>
  <c r="AU32" i="1"/>
  <c r="AP32" i="1"/>
  <c r="AS32" i="1"/>
  <c r="AQ32" i="1"/>
  <c r="AN32" i="1"/>
  <c r="AT32" i="1"/>
  <c r="AR32" i="1"/>
  <c r="E34" i="13"/>
  <c r="E35" i="13" s="1"/>
  <c r="E37" i="13"/>
  <c r="G27" i="15" s="1"/>
  <c r="AV39" i="14"/>
  <c r="AV31" i="1"/>
  <c r="AW31" i="1" s="1"/>
  <c r="I26" i="15"/>
  <c r="AW30" i="1"/>
  <c r="H33" i="13"/>
  <c r="H34" i="13" s="1"/>
  <c r="F37" i="13"/>
  <c r="I27" i="15" s="1"/>
  <c r="Q37" i="13"/>
  <c r="H37" i="13"/>
  <c r="K27" i="15" s="1"/>
  <c r="AY33" i="1"/>
  <c r="N34" i="15"/>
  <c r="O45" i="13"/>
  <c r="L35" i="15" s="1"/>
  <c r="L45" i="13"/>
  <c r="H35" i="15" s="1"/>
  <c r="M45" i="13"/>
  <c r="J35" i="15" s="1"/>
  <c r="D35" i="15"/>
  <c r="F35" i="15" s="1"/>
  <c r="AW38" i="14"/>
  <c r="K46" i="13"/>
  <c r="E38" i="13"/>
  <c r="G28" i="15" s="1"/>
  <c r="H38" i="13"/>
  <c r="K28" i="15" s="1"/>
  <c r="F38" i="13"/>
  <c r="I28" i="15" s="1"/>
  <c r="Q38" i="13"/>
  <c r="C28" i="15"/>
  <c r="E28" i="15" s="1"/>
  <c r="AN33" i="1" l="1"/>
  <c r="AR33" i="1"/>
  <c r="AU33" i="1"/>
  <c r="AQ33" i="1"/>
  <c r="AP33" i="1"/>
  <c r="AS33" i="1"/>
  <c r="AO33" i="1"/>
  <c r="AT33" i="1"/>
  <c r="AV40" i="14"/>
  <c r="K48" i="13" s="1"/>
  <c r="AV32" i="1"/>
  <c r="AW32" i="1" s="1"/>
  <c r="K26" i="15"/>
  <c r="M26" i="15" s="1"/>
  <c r="M27" i="15"/>
  <c r="D39" i="13"/>
  <c r="Q39" i="13" s="1"/>
  <c r="AY34" i="1"/>
  <c r="N35" i="15"/>
  <c r="AW39" i="14"/>
  <c r="K47" i="13"/>
  <c r="M46" i="13"/>
  <c r="J36" i="15" s="1"/>
  <c r="L46" i="13"/>
  <c r="H36" i="15" s="1"/>
  <c r="D36" i="15"/>
  <c r="F36" i="15" s="1"/>
  <c r="O46" i="13"/>
  <c r="L36" i="15" s="1"/>
  <c r="M28" i="15"/>
  <c r="AN34" i="1" l="1"/>
  <c r="AQ34" i="1"/>
  <c r="AS34" i="1"/>
  <c r="AO34" i="1"/>
  <c r="AT34" i="1"/>
  <c r="AR34" i="1"/>
  <c r="AU34" i="1"/>
  <c r="AP34" i="1"/>
  <c r="E39" i="13"/>
  <c r="G29" i="15" s="1"/>
  <c r="AV33" i="1"/>
  <c r="D41" i="13" s="1"/>
  <c r="C29" i="15"/>
  <c r="E29" i="15" s="1"/>
  <c r="H39" i="13"/>
  <c r="K29" i="15" s="1"/>
  <c r="F39" i="13"/>
  <c r="I29" i="15" s="1"/>
  <c r="D40" i="13"/>
  <c r="C30" i="15" s="1"/>
  <c r="E30" i="15" s="1"/>
  <c r="AW40" i="14"/>
  <c r="AY35" i="1"/>
  <c r="N36" i="15"/>
  <c r="M47" i="13"/>
  <c r="D37" i="15"/>
  <c r="F37" i="15" s="1"/>
  <c r="O47" i="13"/>
  <c r="L37" i="15" s="1"/>
  <c r="L47" i="13"/>
  <c r="H37" i="15" s="1"/>
  <c r="K49" i="13"/>
  <c r="L49" i="13" s="1"/>
  <c r="L50" i="13" s="1"/>
  <c r="L48" i="13"/>
  <c r="H38" i="15" s="1"/>
  <c r="O48" i="13"/>
  <c r="L38" i="15" s="1"/>
  <c r="M48" i="13"/>
  <c r="J38" i="15" s="1"/>
  <c r="D38" i="15"/>
  <c r="F38" i="15" s="1"/>
  <c r="AQ35" i="1" l="1"/>
  <c r="AT35" i="1"/>
  <c r="AN35" i="1"/>
  <c r="AR35" i="1"/>
  <c r="AU35" i="1"/>
  <c r="AO35" i="1"/>
  <c r="AP35" i="1"/>
  <c r="AS35" i="1"/>
  <c r="E40" i="13"/>
  <c r="G30" i="15" s="1"/>
  <c r="AV34" i="1"/>
  <c r="D42" i="13" s="1"/>
  <c r="M29" i="15"/>
  <c r="Q40" i="13"/>
  <c r="H40" i="13"/>
  <c r="K30" i="15" s="1"/>
  <c r="F40" i="13"/>
  <c r="I30" i="15" s="1"/>
  <c r="AW33" i="1"/>
  <c r="AY36" i="1"/>
  <c r="N38" i="15"/>
  <c r="O49" i="13"/>
  <c r="N49" i="13"/>
  <c r="J37" i="15"/>
  <c r="N37" i="15" s="1"/>
  <c r="M49" i="13"/>
  <c r="H41" i="13"/>
  <c r="K31" i="15" s="1"/>
  <c r="F41" i="13"/>
  <c r="I31" i="15" s="1"/>
  <c r="Q41" i="13"/>
  <c r="C31" i="15"/>
  <c r="E31" i="15" s="1"/>
  <c r="E41" i="13"/>
  <c r="G31" i="15" s="1"/>
  <c r="AN36" i="1" l="1"/>
  <c r="AS36" i="1"/>
  <c r="AQ36" i="1"/>
  <c r="AT36" i="1"/>
  <c r="AU36" i="1"/>
  <c r="AR36" i="1"/>
  <c r="AP36" i="1"/>
  <c r="AO36" i="1"/>
  <c r="AW34" i="1"/>
  <c r="AV35" i="1"/>
  <c r="AW35" i="1" s="1"/>
  <c r="M30" i="15"/>
  <c r="AY37" i="1"/>
  <c r="M31" i="15"/>
  <c r="C32" i="15"/>
  <c r="E32" i="15" s="1"/>
  <c r="Q42" i="13"/>
  <c r="H42" i="13"/>
  <c r="K32" i="15" s="1"/>
  <c r="E42" i="13"/>
  <c r="G32" i="15" s="1"/>
  <c r="F42" i="13"/>
  <c r="AO37" i="1" l="1"/>
  <c r="AQ37" i="1"/>
  <c r="AS37" i="1"/>
  <c r="AT37" i="1"/>
  <c r="AP37" i="1"/>
  <c r="AN37" i="1"/>
  <c r="AU37" i="1"/>
  <c r="AR37" i="1"/>
  <c r="AV36" i="1"/>
  <c r="D44" i="13" s="1"/>
  <c r="D43" i="13"/>
  <c r="Q43" i="13" s="1"/>
  <c r="AY38" i="1"/>
  <c r="I32" i="15"/>
  <c r="M32" i="15" s="1"/>
  <c r="AT38" i="1" l="1"/>
  <c r="AP38" i="1"/>
  <c r="AO38" i="1"/>
  <c r="AU38" i="1"/>
  <c r="AN38" i="1"/>
  <c r="AR38" i="1"/>
  <c r="AQ38" i="1"/>
  <c r="AS38" i="1"/>
  <c r="E43" i="13"/>
  <c r="G33" i="15" s="1"/>
  <c r="AV37" i="1"/>
  <c r="D45" i="13" s="1"/>
  <c r="AW36" i="1"/>
  <c r="C33" i="15"/>
  <c r="E33" i="15" s="1"/>
  <c r="F43" i="13"/>
  <c r="I33" i="15" s="1"/>
  <c r="H43" i="13"/>
  <c r="K33" i="15" s="1"/>
  <c r="AY39" i="1"/>
  <c r="E44" i="13"/>
  <c r="G34" i="15" s="1"/>
  <c r="H44" i="13"/>
  <c r="K34" i="15" s="1"/>
  <c r="C34" i="15"/>
  <c r="E34" i="15" s="1"/>
  <c r="F44" i="13"/>
  <c r="Q44" i="13"/>
  <c r="AO39" i="1" l="1"/>
  <c r="AQ39" i="1"/>
  <c r="AS39" i="1"/>
  <c r="AP39" i="1"/>
  <c r="AT39" i="1"/>
  <c r="AU39" i="1"/>
  <c r="AR39" i="1"/>
  <c r="AN39" i="1"/>
  <c r="AV38" i="1"/>
  <c r="D46" i="13" s="1"/>
  <c r="AW37" i="1"/>
  <c r="M33" i="15"/>
  <c r="AY40" i="1"/>
  <c r="E45" i="13"/>
  <c r="G35" i="15" s="1"/>
  <c r="H45" i="13"/>
  <c r="K35" i="15" s="1"/>
  <c r="C35" i="15"/>
  <c r="E35" i="15" s="1"/>
  <c r="F45" i="13"/>
  <c r="I35" i="15" s="1"/>
  <c r="Q45" i="13"/>
  <c r="I34" i="15"/>
  <c r="M34" i="15" s="1"/>
  <c r="AO40" i="1" l="1"/>
  <c r="AS40" i="1"/>
  <c r="AR40" i="1"/>
  <c r="AQ40" i="1"/>
  <c r="AT40" i="1"/>
  <c r="AN40" i="1"/>
  <c r="AU40" i="1"/>
  <c r="AP40" i="1"/>
  <c r="AV39" i="1"/>
  <c r="D47" i="13" s="1"/>
  <c r="AW38" i="1"/>
  <c r="M35" i="15"/>
  <c r="F46" i="13"/>
  <c r="E46" i="13"/>
  <c r="G36" i="15" s="1"/>
  <c r="Q46" i="13"/>
  <c r="H46" i="13"/>
  <c r="K36" i="15" s="1"/>
  <c r="C36" i="15"/>
  <c r="E36" i="15" s="1"/>
  <c r="AW39" i="1" l="1"/>
  <c r="AV40" i="1"/>
  <c r="AW40" i="1" s="1"/>
  <c r="I36" i="15"/>
  <c r="M36" i="15" s="1"/>
  <c r="C37" i="15"/>
  <c r="E37" i="15" s="1"/>
  <c r="Q47" i="13"/>
  <c r="F47" i="13"/>
  <c r="I37" i="15" s="1"/>
  <c r="H47" i="13"/>
  <c r="K37" i="15" s="1"/>
  <c r="E47" i="13"/>
  <c r="G37" i="15" s="1"/>
  <c r="D48" i="13" l="1"/>
  <c r="Q48" i="13" s="1"/>
  <c r="M37" i="15"/>
  <c r="E48" i="13" l="1"/>
  <c r="G38" i="15" s="1"/>
  <c r="D49" i="13"/>
  <c r="Q49" i="13" s="1"/>
  <c r="C38" i="15"/>
  <c r="E38" i="15" s="1"/>
  <c r="G49" i="13"/>
  <c r="F48" i="13"/>
  <c r="I38" i="15" s="1"/>
  <c r="E49" i="13" l="1"/>
  <c r="E50" i="13" s="1"/>
  <c r="F49" i="13"/>
  <c r="H48" i="13"/>
  <c r="H49" i="13" s="1"/>
  <c r="K38" i="15" l="1"/>
  <c r="M38" i="15" s="1"/>
</calcChain>
</file>

<file path=xl/sharedStrings.xml><?xml version="1.0" encoding="utf-8"?>
<sst xmlns="http://schemas.openxmlformats.org/spreadsheetml/2006/main" count="494" uniqueCount="165">
  <si>
    <t>Type</t>
  </si>
  <si>
    <t>Month of</t>
  </si>
  <si>
    <t>Lactation</t>
  </si>
  <si>
    <t>To yield</t>
  </si>
  <si>
    <t>Heifers</t>
  </si>
  <si>
    <t>Cows</t>
  </si>
  <si>
    <t>Step rate</t>
  </si>
  <si>
    <t>Flat rate</t>
  </si>
  <si>
    <t>total mixed diet</t>
  </si>
  <si>
    <t>3x milking</t>
  </si>
  <si>
    <t>once a day</t>
  </si>
  <si>
    <t>Once a day milking</t>
  </si>
  <si>
    <t>Predominantly grazing system but cows only milked once per day</t>
  </si>
  <si>
    <t>Three times a day milking</t>
  </si>
  <si>
    <t xml:space="preserve">TMR or partial mixed diet plus cake with 3x a day or robotic milking </t>
  </si>
  <si>
    <t>Total mixed ration</t>
  </si>
  <si>
    <t>One mixed ration fed to all milking cows</t>
  </si>
  <si>
    <t>Lower peaks with one fixed level of concentrates fed to all cows</t>
  </si>
  <si>
    <t>High peaks but cows fed in steps according to stage of lactation not yield</t>
  </si>
  <si>
    <t>Feed to yield</t>
  </si>
  <si>
    <t>High Peak yield and reduce feed as milk yields fall ,eg normal parlour feeding</t>
  </si>
  <si>
    <t>Milk Forecasting Calculator</t>
  </si>
  <si>
    <t>litres</t>
  </si>
  <si>
    <t>Total Milk Value (£)</t>
  </si>
  <si>
    <t>Days</t>
  </si>
  <si>
    <t>Month</t>
  </si>
  <si>
    <t>%</t>
  </si>
  <si>
    <t xml:space="preserve">Start month of forecast   </t>
  </si>
  <si>
    <t>AHDB Dairy is a division of the Agricultural and Horticultural Development Board.</t>
  </si>
  <si>
    <t xml:space="preserve">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 </t>
  </si>
  <si>
    <t>Month number</t>
  </si>
  <si>
    <t>Month production</t>
  </si>
  <si>
    <t>Yield used</t>
  </si>
  <si>
    <t>Used lookup</t>
  </si>
  <si>
    <t>start yield</t>
  </si>
  <si>
    <t xml:space="preserve">yield target </t>
  </si>
  <si>
    <t>No cows</t>
  </si>
  <si>
    <t>No heifers</t>
  </si>
  <si>
    <t>heifers as cow</t>
  </si>
  <si>
    <t>equivalents</t>
  </si>
  <si>
    <t>Total cow equivalents</t>
  </si>
  <si>
    <t>yield per cow equiv</t>
  </si>
  <si>
    <t>Heifer yield</t>
  </si>
  <si>
    <t>Targets given</t>
  </si>
  <si>
    <t>Yield for cows</t>
  </si>
  <si>
    <t>Yield for heifers</t>
  </si>
  <si>
    <t>Once a day</t>
  </si>
  <si>
    <t>Total mixed diet</t>
  </si>
  <si>
    <t xml:space="preserve">Typical profile   </t>
  </si>
  <si>
    <t>days</t>
  </si>
  <si>
    <t>cows</t>
  </si>
  <si>
    <t>Yield per month</t>
  </si>
  <si>
    <t>High peak yield and reduced feed as milk yields fall, e.g. normal parlour feeding</t>
  </si>
  <si>
    <t>Heifer calvings</t>
  </si>
  <si>
    <t>Cow calvings</t>
  </si>
  <si>
    <t>Milk price</t>
  </si>
  <si>
    <t>ppl</t>
  </si>
  <si>
    <t>Feed rate</t>
  </si>
  <si>
    <t>in month</t>
  </si>
  <si>
    <t>Current scenario</t>
  </si>
  <si>
    <t>Alternative scenario</t>
  </si>
  <si>
    <t>Selected chart 1</t>
  </si>
  <si>
    <t>Alternative chart</t>
  </si>
  <si>
    <t>Current</t>
  </si>
  <si>
    <t>Alternative</t>
  </si>
  <si>
    <t>Daily yield per cow in milk (litres)</t>
  </si>
  <si>
    <t>Total milk produced (litres)</t>
  </si>
  <si>
    <t>Current Scenario Forecast</t>
  </si>
  <si>
    <t>Alternative Scenario Forecast</t>
  </si>
  <si>
    <t>Lactation curve:</t>
  </si>
  <si>
    <t>Typical lactation period:</t>
  </si>
  <si>
    <t>Year</t>
  </si>
  <si>
    <t>Year 2</t>
  </si>
  <si>
    <t>LAST YEAR</t>
  </si>
  <si>
    <t>FIRST YEAR TO FORECAST</t>
  </si>
  <si>
    <t>2ND YEAR TO FORECAST</t>
  </si>
  <si>
    <t>3RD YEAR TO FORECAST</t>
  </si>
  <si>
    <t>Year 1</t>
  </si>
  <si>
    <t>Milk Forecasting Calculator Outputs</t>
  </si>
  <si>
    <t>Year 3</t>
  </si>
  <si>
    <t>Forecast annual yield per cow in milk</t>
  </si>
  <si>
    <t>Manual seasonal adjustment</t>
  </si>
  <si>
    <t>Total milk versus current (l)</t>
  </si>
  <si>
    <t>Daily production</t>
  </si>
  <si>
    <t>Total milk revenue (£)</t>
  </si>
  <si>
    <t>Mth 1-10 av</t>
  </si>
  <si>
    <t>Heifers-in-milk</t>
  </si>
  <si>
    <t>Cows-in-milk</t>
  </si>
  <si>
    <t>Av cows-in-milk</t>
  </si>
  <si>
    <t>Cow yield</t>
  </si>
  <si>
    <t>Cows in Milk</t>
  </si>
  <si>
    <t>It also allows you to see the impact of changing yield, calvings, lactation curve or lactation period on your milk production and milk sales income.</t>
  </si>
  <si>
    <t>For instructions please refer to the "Instructions" sheet.</t>
  </si>
  <si>
    <t>Milk Forecasting Calculator Instructions</t>
  </si>
  <si>
    <t>Input is via the "Input" and "Calving Input" sheets, and entries are required in all white cells.</t>
  </si>
  <si>
    <t>Select a shape of lactation curve from the drop down list that suits your system. The chart on the Input sheet will change, depending on which curve you choose.</t>
  </si>
  <si>
    <t>Try different curves as selecting the wrong one can make very large difference to the pattern of milk output, although overall lacation yields will be very similar.</t>
  </si>
  <si>
    <t xml:space="preserve">This tool enables you to create a milk production and sales income forecast for up to 3 years from your yield and expected calvings. </t>
  </si>
  <si>
    <t>Entry on Input sheet</t>
  </si>
  <si>
    <t>Enter the total number of cows (including heifers-in-milk) in your herd at the start of the year.</t>
  </si>
  <si>
    <t>If you want to look at the impact of changes on farm, you can enter data in the alternative scenario cells and a comparison will be done.</t>
  </si>
  <si>
    <t>Entry on Calving Input sheet</t>
  </si>
  <si>
    <t>You will need to enter the number of cows and heifers who calved each month last year.</t>
  </si>
  <si>
    <t>Also then enter the number of cows and heifers you expect to calve each month for the next 3 years.</t>
  </si>
  <si>
    <t>Outputs</t>
  </si>
  <si>
    <t xml:space="preserve">Typical calving interval   </t>
  </si>
  <si>
    <t>Enter your typical calving interval (in days)</t>
  </si>
  <si>
    <t>High Peak yield and reduce feed as milk yields fall, e.g. normal parlour feeding</t>
  </si>
  <si>
    <t xml:space="preserve">Current annual milk production   </t>
  </si>
  <si>
    <t xml:space="preserve">Current typical calving interval   </t>
  </si>
  <si>
    <t>Heifer yield as % of cows yield</t>
  </si>
  <si>
    <t xml:space="preserve">Estimated current yield per cow in milk   </t>
  </si>
  <si>
    <t xml:space="preserve">Estimated yield per cow in milk   </t>
  </si>
  <si>
    <t xml:space="preserve">Planned annual increase/decrease in yield   </t>
  </si>
  <si>
    <t xml:space="preserve">Planned annual increase in yield   </t>
  </si>
  <si>
    <t xml:space="preserve">Current yield per cow in milk to be used   </t>
  </si>
  <si>
    <t>If you plan to increase or decrease milk yield over the coming years, enter the rate of change as a %.</t>
  </si>
  <si>
    <t>If milk yield per cow is expected to reduce, enter a negative number.</t>
  </si>
  <si>
    <t>On the Input sheet - select the start month for your year 1 forecast from the drop down list.</t>
  </si>
  <si>
    <t>The milk forecast is created automatically as you enter numbers. This forecast will appear on the Output sheet.</t>
  </si>
  <si>
    <t>Yield monthly change</t>
  </si>
  <si>
    <t xml:space="preserve">Typical dry period   </t>
  </si>
  <si>
    <t>Typical dry period:</t>
  </si>
  <si>
    <t xml:space="preserve">Heifer yield as % of cow yield   </t>
  </si>
  <si>
    <t xml:space="preserve">Estimated yield per cow in milk at end of year 3   </t>
  </si>
  <si>
    <t>Please note, if you only want to do a 1 year milk forecast, you can leave the Calving Input sheet blank for years 2 and 3</t>
  </si>
  <si>
    <t>Enter your annual milk production for the last 12 months - ideally running up to the start of the date you entered above</t>
  </si>
  <si>
    <t>Enter your typical dry period (in days)</t>
  </si>
  <si>
    <t>Enter your heifer-in-milk yield as a percentage of what you achieve for cows-in-milk. If heifer and cow yields are similar, enter 100% in this cell.</t>
  </si>
  <si>
    <t>The spreadsheet will show you what your milk yield will be at the end of year 3 based on the percentage change you have entered.</t>
  </si>
  <si>
    <t>Feed cost</t>
  </si>
  <si>
    <t>Concentrate cost (£)</t>
  </si>
  <si>
    <t>Feed costs (£)</t>
  </si>
  <si>
    <t>Margin over feed (£)</t>
  </si>
  <si>
    <t>Spring block</t>
  </si>
  <si>
    <t>Autumn block</t>
  </si>
  <si>
    <t>Intensively grazed, grass based system</t>
  </si>
  <si>
    <t>Spring Block</t>
  </si>
  <si>
    <t>Raw data</t>
  </si>
  <si>
    <t>Averages</t>
  </si>
  <si>
    <t>Yield for charts</t>
  </si>
  <si>
    <t>Herd fed to achieve maximum yield in winter and maximise grazing in spring</t>
  </si>
  <si>
    <t>Source: Fern NMR/CIS</t>
  </si>
  <si>
    <t>To plot</t>
  </si>
  <si>
    <t>In order to get an estimate of milk revenue and feed requirements, enter your estimated milk price, feed price and feed rate.</t>
  </si>
  <si>
    <t>The milk forecast, milk revenue, milk yield and margin over feed are also shown on charts on the Output Charts sheet.</t>
  </si>
  <si>
    <t>If you do not plan to change your yield over the period, then please enter 0 in this cell</t>
  </si>
  <si>
    <t>The spreadsheet will calculate an estimate for your average yield per cow-in-milk based on the numbers you entered above.</t>
  </si>
  <si>
    <t>You can either use this calculated number or enter your own figure for yield per cow in milk in the white cell.</t>
  </si>
  <si>
    <t>£ per kg</t>
  </si>
  <si>
    <t>Concentrate used (kgs / mth)</t>
  </si>
  <si>
    <t>kgs per cow-in-milk per day</t>
  </si>
  <si>
    <t>Month of lactation</t>
  </si>
  <si>
    <t>Proportion of animals still milking</t>
  </si>
  <si>
    <t>Retention</t>
  </si>
  <si>
    <t>The numbers used will be applied to historic calvings as well as future calvings</t>
  </si>
  <si>
    <t>Entry on Culling rate sheet</t>
  </si>
  <si>
    <t>The Culling rate sheet allows you to add details of culling rates. For example, if you have historically had to cull out 5% of your cows 6 months after calving, you</t>
  </si>
  <si>
    <t>can enter those details onto this sheet. In such circumstances, you would add 5% in for month 6 and leave everything else as zero.</t>
  </si>
  <si>
    <t xml:space="preserve">It is worth noting that putting anything other than zero in this sheet will also impact on the number of cows-in-milk in any particular month. </t>
  </si>
  <si>
    <t>Culling rates</t>
  </si>
  <si>
    <t>Typical profile types</t>
  </si>
  <si>
    <t>Name</t>
  </si>
  <si>
    <t>Decription</t>
  </si>
  <si>
    <t>Copy the typical profile name from below and paste into the typical profile boxes in the input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</si>
</sst>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3" formatCode="_-* #,##0.00_-;\-* #,##0.00_-;_-* &quot;-&quot;??_-;_-@_-"/>
    <numFmt numFmtId="164" formatCode="0.0"/>
    <numFmt numFmtId="165" formatCode="_-* #,##0_-;\-* #,##0_-;_-* &quot;-&quot;??_-;_-@_-"/>
    <numFmt numFmtId="166" formatCode="_-* #,##0.0_-;\-* #,##0.0_-;_-* &quot;-&quot;??_-;_-@_-"/>
    <numFmt numFmtId="167" formatCode="0.000"/>
    <numFmt numFmtId="168" formatCode="&quot;£&quot;#,##0.00"/>
    <numFmt numFmtId="169" formatCode="&quot;£&quot;#,##0"/>
  </numFmts>
  <fonts count="37" x14ac:knownFonts="1">
    <font>
      <sz val="10"/>
      <color theme="1"/>
      <name val="Arial"/>
      <family val="2"/>
    </font>
    <font>
      <sz val="10"/>
      <color theme="1"/>
      <name val="Arial"/>
      <family val="2"/>
    </font>
    <font>
      <sz val="10"/>
      <color theme="0"/>
      <name val="Arial"/>
      <family val="2"/>
    </font>
    <font>
      <sz val="28"/>
      <color rgb="FFFFC000"/>
      <name val="Arial"/>
      <family val="2"/>
    </font>
    <font>
      <sz val="10"/>
      <name val="Arial"/>
      <family val="2"/>
    </font>
    <font>
      <sz val="14"/>
      <color theme="1"/>
      <name val="Arial"/>
      <family val="2"/>
    </font>
    <font>
      <sz val="11"/>
      <color theme="1"/>
      <name val="Arial"/>
      <family val="2"/>
    </font>
    <font>
      <sz val="11"/>
      <name val="Arial"/>
      <family val="2"/>
    </font>
    <font>
      <sz val="11"/>
      <color rgb="FFFF0000"/>
      <name val="Arial"/>
      <family val="2"/>
    </font>
    <font>
      <sz val="11"/>
      <color indexed="8"/>
      <name val="Arial"/>
      <family val="2"/>
    </font>
    <font>
      <sz val="14"/>
      <color theme="0"/>
      <name val="Arial"/>
      <family val="2"/>
    </font>
    <font>
      <sz val="18"/>
      <color rgb="FFFF9933"/>
      <name val="Arial"/>
      <family val="2"/>
    </font>
    <font>
      <sz val="8"/>
      <name val="Arial"/>
      <family val="2"/>
    </font>
    <font>
      <sz val="12"/>
      <name val="Arial"/>
      <family val="2"/>
    </font>
    <font>
      <sz val="28"/>
      <color rgb="FFFFBC11"/>
      <name val="Arial"/>
      <family val="2"/>
    </font>
    <font>
      <b/>
      <sz val="14"/>
      <color theme="1"/>
      <name val="Arial"/>
      <family val="2"/>
    </font>
    <font>
      <b/>
      <sz val="10"/>
      <color theme="1"/>
      <name val="Arial"/>
      <family val="2"/>
    </font>
    <font>
      <b/>
      <sz val="11"/>
      <color theme="1"/>
      <name val="Arial"/>
      <family val="2"/>
    </font>
    <font>
      <b/>
      <sz val="11"/>
      <color indexed="8"/>
      <name val="Arial"/>
      <family val="2"/>
    </font>
    <font>
      <b/>
      <sz val="11"/>
      <color rgb="FFFF0000"/>
      <name val="Arial"/>
      <family val="2"/>
    </font>
    <font>
      <sz val="12"/>
      <color theme="1"/>
      <name val="Arial"/>
      <family val="2"/>
    </font>
    <font>
      <b/>
      <sz val="12"/>
      <color theme="1"/>
      <name val="Arial"/>
      <family val="2"/>
    </font>
    <font>
      <b/>
      <u/>
      <sz val="10"/>
      <color theme="1"/>
      <name val="Arial"/>
      <family val="2"/>
    </font>
    <font>
      <b/>
      <sz val="11"/>
      <name val="Arial"/>
      <family val="2"/>
    </font>
    <font>
      <sz val="32"/>
      <color rgb="FF0082CA"/>
      <name val="Ubuntu"/>
      <family val="2"/>
    </font>
    <font>
      <b/>
      <sz val="18"/>
      <color rgb="FF0082CA"/>
      <name val="Arial"/>
      <family val="2"/>
    </font>
    <font>
      <b/>
      <sz val="14"/>
      <color rgb="FF0082CA"/>
      <name val="Arial"/>
      <family val="2"/>
    </font>
    <font>
      <sz val="13"/>
      <color rgb="FF0082CA"/>
      <name val="Arial"/>
      <family val="2"/>
    </font>
    <font>
      <b/>
      <sz val="13"/>
      <color rgb="FF0082CA"/>
      <name val="Arial"/>
      <family val="2"/>
    </font>
    <font>
      <sz val="10"/>
      <color rgb="FF0082CA"/>
      <name val="Arial"/>
      <family val="2"/>
    </font>
    <font>
      <b/>
      <sz val="12"/>
      <color rgb="FF0082CA"/>
      <name val="Arial"/>
      <family val="2"/>
    </font>
    <font>
      <b/>
      <sz val="11"/>
      <color rgb="FF0082CA"/>
      <name val="Arial"/>
      <family val="2"/>
    </font>
    <font>
      <b/>
      <sz val="10"/>
      <color theme="0"/>
      <name val="Arial"/>
      <family val="2"/>
    </font>
    <font>
      <sz val="24"/>
      <color rgb="FF0082CA"/>
      <name val="Ubuntu"/>
      <family val="2"/>
    </font>
    <font>
      <b/>
      <sz val="16"/>
      <color rgb="FF0082CA"/>
      <name val="Arial"/>
      <family val="2"/>
    </font>
    <font>
      <b/>
      <sz val="16"/>
      <color theme="1"/>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BFF89"/>
        <bgColor indexed="64"/>
      </patternFill>
    </fill>
    <fill>
      <patternFill patternType="solid">
        <fgColor rgb="FF84D3FF"/>
        <bgColor indexed="64"/>
      </patternFill>
    </fill>
    <fill>
      <patternFill patternType="solid">
        <fgColor rgb="FFC1E9FF"/>
        <bgColor indexed="64"/>
      </patternFill>
    </fill>
    <fill>
      <patternFill patternType="solid">
        <fgColor rgb="FFB0DD7F"/>
        <bgColor indexed="64"/>
      </patternFill>
    </fill>
    <fill>
      <patternFill patternType="solid">
        <fgColor rgb="FF76B53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rgb="FFFF0000"/>
      </right>
      <top style="thin">
        <color rgb="FFFF0000"/>
      </top>
      <bottom style="thin">
        <color rgb="FFFF0000"/>
      </bottom>
      <diagonal/>
    </border>
    <border>
      <left/>
      <right style="thin">
        <color rgb="FFFF0000"/>
      </right>
      <top style="medium">
        <color indexed="64"/>
      </top>
      <bottom/>
      <diagonal/>
    </border>
    <border>
      <left/>
      <right style="thin">
        <color rgb="FFFF0000"/>
      </right>
      <top/>
      <bottom/>
      <diagonal/>
    </border>
    <border>
      <left/>
      <right style="thin">
        <color rgb="FFFF0000"/>
      </right>
      <top/>
      <bottom style="thin">
        <color rgb="FFFF0000"/>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FF0000"/>
      </right>
      <top style="medium">
        <color indexed="64"/>
      </top>
      <bottom style="thin">
        <color rgb="FFFF0000"/>
      </bottom>
      <diagonal/>
    </border>
    <border>
      <left/>
      <right style="medium">
        <color indexed="64"/>
      </right>
      <top style="medium">
        <color indexed="64"/>
      </top>
      <bottom style="thin">
        <color rgb="FFFF0000"/>
      </bottom>
      <diagonal/>
    </border>
    <border>
      <left style="medium">
        <color indexed="64"/>
      </left>
      <right style="thin">
        <color rgb="FFFF0000"/>
      </right>
      <top style="thin">
        <color rgb="FFFF0000"/>
      </top>
      <bottom style="thin">
        <color rgb="FFFF0000"/>
      </bottom>
      <diagonal/>
    </border>
    <border>
      <left/>
      <right style="medium">
        <color indexed="64"/>
      </right>
      <top style="thin">
        <color rgb="FFFF0000"/>
      </top>
      <bottom style="thin">
        <color rgb="FFFF0000"/>
      </bottom>
      <diagonal/>
    </border>
    <border>
      <left style="medium">
        <color indexed="64"/>
      </left>
      <right style="thin">
        <color rgb="FFFF0000"/>
      </right>
      <top style="thin">
        <color rgb="FFFF0000"/>
      </top>
      <bottom style="medium">
        <color indexed="64"/>
      </bottom>
      <diagonal/>
    </border>
    <border>
      <left/>
      <right style="medium">
        <color indexed="64"/>
      </right>
      <top style="thin">
        <color rgb="FFFF0000"/>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50">
    <xf numFmtId="0" fontId="0" fillId="0" borderId="0" xfId="0"/>
    <xf numFmtId="0" fontId="8" fillId="0" borderId="3" xfId="0" applyFont="1" applyBorder="1" applyAlignment="1" applyProtection="1">
      <alignment horizontal="center"/>
      <protection locked="0" hidden="1"/>
    </xf>
    <xf numFmtId="9" fontId="8" fillId="0" borderId="1" xfId="0" applyNumberFormat="1" applyFont="1" applyBorder="1" applyAlignment="1" applyProtection="1">
      <alignment horizontal="center"/>
      <protection locked="0"/>
    </xf>
    <xf numFmtId="165" fontId="0" fillId="0" borderId="0" xfId="1" applyNumberFormat="1" applyFont="1"/>
    <xf numFmtId="166" fontId="0" fillId="0" borderId="0" xfId="0" applyNumberFormat="1"/>
    <xf numFmtId="166" fontId="0" fillId="0" borderId="0" xfId="1" applyNumberFormat="1" applyFont="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165" fontId="0" fillId="0" borderId="0" xfId="1" applyNumberFormat="1" applyFont="1" applyBorder="1"/>
    <xf numFmtId="0" fontId="0" fillId="0" borderId="10" xfId="0" applyBorder="1"/>
    <xf numFmtId="165" fontId="0" fillId="0" borderId="11" xfId="1" applyNumberFormat="1" applyFont="1" applyBorder="1"/>
    <xf numFmtId="0" fontId="0" fillId="0" borderId="11" xfId="0" applyBorder="1"/>
    <xf numFmtId="165" fontId="0" fillId="0" borderId="0" xfId="0" applyNumberFormat="1"/>
    <xf numFmtId="0" fontId="4" fillId="2" borderId="0" xfId="0" applyFont="1" applyFill="1"/>
    <xf numFmtId="0" fontId="13" fillId="2" borderId="0" xfId="0" applyFont="1" applyFill="1"/>
    <xf numFmtId="165" fontId="8" fillId="0" borderId="4" xfId="1" applyNumberFormat="1" applyFont="1" applyFill="1" applyBorder="1" applyAlignment="1" applyProtection="1">
      <alignment horizontal="center"/>
      <protection locked="0"/>
    </xf>
    <xf numFmtId="0" fontId="8" fillId="0" borderId="4" xfId="0" applyFont="1" applyBorder="1" applyAlignment="1">
      <alignment horizontal="right"/>
    </xf>
    <xf numFmtId="0" fontId="5" fillId="0" borderId="0" xfId="0" applyFont="1"/>
    <xf numFmtId="17" fontId="8" fillId="0" borderId="4" xfId="0" applyNumberFormat="1" applyFont="1" applyBorder="1" applyAlignment="1">
      <alignment horizontal="right"/>
    </xf>
    <xf numFmtId="17" fontId="0" fillId="0" borderId="0" xfId="0" applyNumberFormat="1"/>
    <xf numFmtId="0" fontId="0" fillId="0" borderId="0" xfId="0" applyAlignment="1">
      <alignment horizontal="center" vertical="center" wrapText="1"/>
    </xf>
    <xf numFmtId="0" fontId="0" fillId="3" borderId="0" xfId="0" applyFill="1"/>
    <xf numFmtId="0" fontId="0" fillId="0" borderId="9"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165" fontId="0" fillId="0" borderId="11" xfId="0" applyNumberFormat="1" applyBorder="1"/>
    <xf numFmtId="9" fontId="8" fillId="0" borderId="21" xfId="0" applyNumberFormat="1" applyFont="1" applyBorder="1" applyAlignment="1" applyProtection="1">
      <alignment horizontal="center"/>
      <protection locked="0"/>
    </xf>
    <xf numFmtId="9" fontId="8" fillId="0" borderId="25" xfId="0" applyNumberFormat="1" applyFont="1" applyBorder="1" applyAlignment="1" applyProtection="1">
      <alignment horizontal="center"/>
      <protection locked="0"/>
    </xf>
    <xf numFmtId="9" fontId="8" fillId="0" borderId="24" xfId="0" applyNumberFormat="1" applyFont="1" applyBorder="1" applyAlignment="1" applyProtection="1">
      <alignment horizontal="center"/>
      <protection locked="0"/>
    </xf>
    <xf numFmtId="3" fontId="0" fillId="0" borderId="0" xfId="0" applyNumberFormat="1"/>
    <xf numFmtId="42" fontId="0" fillId="0" borderId="0" xfId="0" applyNumberFormat="1"/>
    <xf numFmtId="2" fontId="8" fillId="0" borderId="3" xfId="0" applyNumberFormat="1" applyFont="1" applyBorder="1" applyAlignment="1" applyProtection="1">
      <alignment horizontal="center"/>
      <protection locked="0" hidden="1"/>
    </xf>
    <xf numFmtId="1" fontId="0" fillId="0" borderId="0" xfId="0" applyNumberFormat="1"/>
    <xf numFmtId="167" fontId="0" fillId="0" borderId="0" xfId="0" applyNumberFormat="1"/>
    <xf numFmtId="0" fontId="0" fillId="0" borderId="0" xfId="0" applyAlignment="1">
      <alignment horizontal="center" vertical="center"/>
    </xf>
    <xf numFmtId="0" fontId="0" fillId="3" borderId="11" xfId="0" applyFill="1" applyBorder="1"/>
    <xf numFmtId="0" fontId="0" fillId="0" borderId="12" xfId="0" applyBorder="1"/>
    <xf numFmtId="0" fontId="16" fillId="0" borderId="6" xfId="0" applyFont="1" applyBorder="1" applyAlignment="1">
      <alignment horizontal="center"/>
    </xf>
    <xf numFmtId="0" fontId="16" fillId="0" borderId="6" xfId="0" applyFont="1" applyBorder="1"/>
    <xf numFmtId="43" fontId="0" fillId="0" borderId="0" xfId="1" applyFont="1" applyBorder="1"/>
    <xf numFmtId="43" fontId="0" fillId="0" borderId="0" xfId="0" applyNumberFormat="1"/>
    <xf numFmtId="165" fontId="0" fillId="0" borderId="9" xfId="0" applyNumberFormat="1" applyBorder="1"/>
    <xf numFmtId="43" fontId="0" fillId="0" borderId="11" xfId="0" applyNumberFormat="1" applyBorder="1"/>
    <xf numFmtId="0" fontId="0" fillId="0" borderId="18" xfId="0" applyBorder="1"/>
    <xf numFmtId="0" fontId="0" fillId="0" borderId="20" xfId="0" applyBorder="1"/>
    <xf numFmtId="17" fontId="0" fillId="0" borderId="20" xfId="0" applyNumberFormat="1" applyBorder="1"/>
    <xf numFmtId="17" fontId="0" fillId="0" borderId="19" xfId="0" applyNumberFormat="1" applyBorder="1"/>
    <xf numFmtId="0" fontId="0" fillId="0" borderId="8" xfId="0" applyBorder="1" applyAlignment="1">
      <alignment horizontal="center" vertical="center" wrapText="1"/>
    </xf>
    <xf numFmtId="0" fontId="22" fillId="0" borderId="8" xfId="0" applyFont="1" applyBorder="1" applyAlignment="1">
      <alignment horizontal="center" vertical="center"/>
    </xf>
    <xf numFmtId="0" fontId="0" fillId="0" borderId="0" xfId="0" applyAlignment="1">
      <alignment horizontal="center"/>
    </xf>
    <xf numFmtId="0" fontId="16" fillId="0" borderId="0" xfId="0" applyFont="1" applyAlignment="1">
      <alignment horizontal="center" vertical="center"/>
    </xf>
    <xf numFmtId="0" fontId="22" fillId="0" borderId="8" xfId="0" applyFont="1" applyBorder="1" applyAlignment="1">
      <alignment horizontal="center"/>
    </xf>
    <xf numFmtId="0" fontId="5" fillId="4" borderId="0" xfId="0" applyFont="1" applyFill="1"/>
    <xf numFmtId="0" fontId="26" fillId="6" borderId="8" xfId="0" applyFont="1" applyFill="1" applyBorder="1" applyAlignment="1" applyProtection="1">
      <alignment horizontal="left" vertical="center"/>
      <protection hidden="1"/>
    </xf>
    <xf numFmtId="0" fontId="0" fillId="6" borderId="0" xfId="0" applyFill="1"/>
    <xf numFmtId="0" fontId="20" fillId="6" borderId="26" xfId="0" applyFont="1" applyFill="1" applyBorder="1" applyAlignment="1" applyProtection="1">
      <alignment horizontal="center" vertical="center" wrapText="1"/>
      <protection hidden="1"/>
    </xf>
    <xf numFmtId="0" fontId="13" fillId="6" borderId="26" xfId="0" applyFont="1" applyFill="1" applyBorder="1" applyAlignment="1" applyProtection="1">
      <alignment horizontal="center" vertical="center" wrapText="1"/>
      <protection hidden="1"/>
    </xf>
    <xf numFmtId="1" fontId="6" fillId="6" borderId="24" xfId="0" applyNumberFormat="1" applyFont="1" applyFill="1" applyBorder="1" applyAlignment="1" applyProtection="1">
      <alignment horizontal="center"/>
      <protection hidden="1"/>
    </xf>
    <xf numFmtId="164" fontId="6" fillId="6" borderId="24" xfId="0" applyNumberFormat="1" applyFont="1" applyFill="1" applyBorder="1" applyAlignment="1" applyProtection="1">
      <alignment horizontal="center"/>
      <protection hidden="1"/>
    </xf>
    <xf numFmtId="1" fontId="17" fillId="6" borderId="1" xfId="0" applyNumberFormat="1" applyFont="1" applyFill="1" applyBorder="1" applyAlignment="1" applyProtection="1">
      <alignment horizontal="center"/>
      <protection hidden="1"/>
    </xf>
    <xf numFmtId="164" fontId="17" fillId="6" borderId="24" xfId="0" applyNumberFormat="1" applyFont="1" applyFill="1" applyBorder="1" applyAlignment="1" applyProtection="1">
      <alignment horizontal="center"/>
      <protection hidden="1"/>
    </xf>
    <xf numFmtId="9" fontId="19" fillId="6" borderId="1" xfId="0" applyNumberFormat="1" applyFont="1" applyFill="1" applyBorder="1" applyAlignment="1" applyProtection="1">
      <alignment horizontal="center"/>
      <protection locked="0"/>
    </xf>
    <xf numFmtId="3" fontId="17" fillId="6" borderId="1" xfId="0" applyNumberFormat="1" applyFont="1" applyFill="1" applyBorder="1" applyAlignment="1" applyProtection="1">
      <alignment horizontal="center"/>
      <protection hidden="1"/>
    </xf>
    <xf numFmtId="1" fontId="6" fillId="6" borderId="1" xfId="0" applyNumberFormat="1" applyFont="1" applyFill="1" applyBorder="1" applyAlignment="1" applyProtection="1">
      <alignment horizontal="center"/>
      <protection hidden="1"/>
    </xf>
    <xf numFmtId="164" fontId="6" fillId="6" borderId="1" xfId="0" applyNumberFormat="1" applyFont="1" applyFill="1" applyBorder="1" applyAlignment="1" applyProtection="1">
      <alignment horizontal="center"/>
      <protection hidden="1"/>
    </xf>
    <xf numFmtId="0" fontId="0" fillId="6" borderId="11" xfId="0" applyFill="1" applyBorder="1"/>
    <xf numFmtId="3" fontId="17" fillId="6" borderId="22" xfId="0" applyNumberFormat="1" applyFont="1" applyFill="1" applyBorder="1" applyAlignment="1" applyProtection="1">
      <alignment horizontal="center"/>
      <protection hidden="1"/>
    </xf>
    <xf numFmtId="0" fontId="6" fillId="6" borderId="11" xfId="0" applyFont="1" applyFill="1" applyBorder="1" applyAlignment="1">
      <alignment horizontal="left" indent="1"/>
    </xf>
    <xf numFmtId="0" fontId="15" fillId="6" borderId="8"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5" fillId="6" borderId="6" xfId="0" applyFont="1" applyFill="1" applyBorder="1"/>
    <xf numFmtId="0" fontId="5" fillId="6" borderId="7" xfId="0" applyFont="1" applyFill="1" applyBorder="1"/>
    <xf numFmtId="0" fontId="5" fillId="6" borderId="0" xfId="0" applyFont="1" applyFill="1"/>
    <xf numFmtId="0" fontId="5" fillId="6" borderId="9" xfId="0" applyFont="1" applyFill="1" applyBorder="1"/>
    <xf numFmtId="0" fontId="5" fillId="6" borderId="3" xfId="0" applyFont="1" applyFill="1" applyBorder="1" applyAlignment="1">
      <alignment horizontal="center"/>
    </xf>
    <xf numFmtId="2" fontId="5" fillId="6" borderId="3" xfId="0" applyNumberFormat="1" applyFont="1" applyFill="1" applyBorder="1"/>
    <xf numFmtId="0" fontId="5" fillId="6" borderId="3" xfId="0" applyFont="1" applyFill="1" applyBorder="1"/>
    <xf numFmtId="0" fontId="27" fillId="6" borderId="0" xfId="0" applyFont="1" applyFill="1"/>
    <xf numFmtId="0" fontId="28" fillId="6" borderId="0" xfId="0" applyFont="1" applyFill="1" applyAlignment="1" applyProtection="1">
      <alignment horizontal="right"/>
      <protection hidden="1"/>
    </xf>
    <xf numFmtId="0" fontId="28" fillId="6" borderId="0" xfId="0" applyFont="1" applyFill="1" applyAlignment="1" applyProtection="1">
      <alignment horizontal="left"/>
      <protection hidden="1"/>
    </xf>
    <xf numFmtId="0" fontId="28" fillId="6" borderId="9" xfId="0" applyFont="1" applyFill="1" applyBorder="1" applyProtection="1">
      <protection hidden="1"/>
    </xf>
    <xf numFmtId="0" fontId="27" fillId="0" borderId="0" xfId="0" applyFont="1"/>
    <xf numFmtId="0" fontId="28" fillId="6" borderId="9" xfId="0" applyFont="1" applyFill="1" applyBorder="1" applyAlignment="1" applyProtection="1">
      <alignment horizontal="center"/>
      <protection hidden="1"/>
    </xf>
    <xf numFmtId="0" fontId="29" fillId="0" borderId="0" xfId="0" applyFont="1"/>
    <xf numFmtId="0" fontId="29" fillId="6" borderId="0" xfId="0" applyFont="1" applyFill="1"/>
    <xf numFmtId="0" fontId="30" fillId="6" borderId="26" xfId="0" applyFont="1" applyFill="1" applyBorder="1" applyAlignment="1" applyProtection="1">
      <alignment horizontal="center" vertical="center" wrapText="1"/>
      <protection hidden="1"/>
    </xf>
    <xf numFmtId="3" fontId="31" fillId="6" borderId="24" xfId="0" applyNumberFormat="1" applyFont="1" applyFill="1" applyBorder="1" applyAlignment="1" applyProtection="1">
      <alignment horizontal="right" indent="1"/>
      <protection hidden="1"/>
    </xf>
    <xf numFmtId="3" fontId="31" fillId="6" borderId="1" xfId="0" applyNumberFormat="1" applyFont="1" applyFill="1" applyBorder="1" applyAlignment="1" applyProtection="1">
      <alignment horizontal="right" indent="1"/>
      <protection hidden="1"/>
    </xf>
    <xf numFmtId="0" fontId="29" fillId="6" borderId="0" xfId="0" applyFont="1" applyFill="1" applyAlignment="1">
      <alignment horizontal="right" indent="1"/>
    </xf>
    <xf numFmtId="0" fontId="29" fillId="6" borderId="9" xfId="0" applyFont="1" applyFill="1" applyBorder="1"/>
    <xf numFmtId="0" fontId="30" fillId="6" borderId="27" xfId="0" applyFont="1" applyFill="1" applyBorder="1" applyAlignment="1" applyProtection="1">
      <alignment horizontal="center" vertical="center" wrapText="1"/>
      <protection hidden="1"/>
    </xf>
    <xf numFmtId="3" fontId="31" fillId="6" borderId="25" xfId="0" applyNumberFormat="1" applyFont="1" applyFill="1" applyBorder="1" applyAlignment="1" applyProtection="1">
      <alignment horizontal="right" indent="1"/>
      <protection hidden="1"/>
    </xf>
    <xf numFmtId="3" fontId="31" fillId="6" borderId="21" xfId="0" applyNumberFormat="1" applyFont="1" applyFill="1" applyBorder="1" applyAlignment="1" applyProtection="1">
      <alignment horizontal="right" indent="1"/>
      <protection hidden="1"/>
    </xf>
    <xf numFmtId="0" fontId="29" fillId="6" borderId="9" xfId="0" applyFont="1" applyFill="1" applyBorder="1" applyAlignment="1">
      <alignment horizontal="right" indent="1"/>
    </xf>
    <xf numFmtId="0" fontId="29" fillId="6" borderId="12" xfId="0" applyFont="1" applyFill="1" applyBorder="1"/>
    <xf numFmtId="0" fontId="8" fillId="0" borderId="29" xfId="0" applyFont="1" applyBorder="1" applyAlignment="1" applyProtection="1">
      <alignment horizontal="center"/>
      <protection locked="0" hidden="1"/>
    </xf>
    <xf numFmtId="0" fontId="5" fillId="6" borderId="29" xfId="0" applyFont="1" applyFill="1" applyBorder="1" applyAlignment="1">
      <alignment horizontal="center"/>
    </xf>
    <xf numFmtId="0" fontId="4" fillId="6" borderId="0" xfId="0" applyFont="1" applyFill="1"/>
    <xf numFmtId="0" fontId="4" fillId="6" borderId="0" xfId="0" applyFont="1" applyFill="1" applyAlignment="1">
      <alignment vertical="center"/>
    </xf>
    <xf numFmtId="0" fontId="2" fillId="6" borderId="0" xfId="0" applyFont="1" applyFill="1"/>
    <xf numFmtId="0" fontId="10" fillId="6" borderId="0" xfId="0" applyFont="1" applyFill="1"/>
    <xf numFmtId="0" fontId="26" fillId="6" borderId="0" xfId="0" applyFont="1" applyFill="1" applyAlignment="1">
      <alignment horizontal="center"/>
    </xf>
    <xf numFmtId="0" fontId="6" fillId="6" borderId="0" xfId="0" applyFont="1" applyFill="1" applyAlignment="1" applyProtection="1">
      <alignment horizontal="right" vertical="center"/>
      <protection hidden="1"/>
    </xf>
    <xf numFmtId="0" fontId="7" fillId="6" borderId="0" xfId="0" applyFont="1" applyFill="1" applyAlignment="1">
      <alignment horizontal="right"/>
    </xf>
    <xf numFmtId="0" fontId="7" fillId="6" borderId="0" xfId="0" applyFont="1" applyFill="1" applyAlignment="1">
      <alignment horizontal="center"/>
    </xf>
    <xf numFmtId="0" fontId="4" fillId="6" borderId="0" xfId="0" applyFont="1" applyFill="1" applyAlignment="1">
      <alignment horizontal="left" vertical="center" wrapText="1"/>
    </xf>
    <xf numFmtId="0" fontId="17" fillId="6" borderId="0" xfId="0" applyFont="1" applyFill="1" applyAlignment="1" applyProtection="1">
      <alignment horizontal="right" vertical="center"/>
      <protection hidden="1"/>
    </xf>
    <xf numFmtId="0" fontId="4" fillId="7" borderId="0" xfId="0" applyFont="1" applyFill="1"/>
    <xf numFmtId="0" fontId="7" fillId="7" borderId="0" xfId="0" applyFont="1" applyFill="1"/>
    <xf numFmtId="0" fontId="6" fillId="7" borderId="0" xfId="0" applyFont="1" applyFill="1" applyAlignment="1" applyProtection="1">
      <alignment horizontal="right" vertical="center"/>
      <protection hidden="1"/>
    </xf>
    <xf numFmtId="0" fontId="17" fillId="7" borderId="0" xfId="0" applyFont="1" applyFill="1" applyAlignment="1" applyProtection="1">
      <alignment horizontal="right" vertical="center"/>
      <protection hidden="1"/>
    </xf>
    <xf numFmtId="0" fontId="7" fillId="7" borderId="0" xfId="0" applyFont="1" applyFill="1" applyAlignment="1">
      <alignment horizontal="right"/>
    </xf>
    <xf numFmtId="0" fontId="4" fillId="7" borderId="0" xfId="0" applyFont="1" applyFill="1" applyAlignment="1">
      <alignment vertical="center"/>
    </xf>
    <xf numFmtId="0" fontId="2" fillId="7" borderId="0" xfId="0" applyFont="1" applyFill="1"/>
    <xf numFmtId="0" fontId="2" fillId="7" borderId="0" xfId="0" applyFont="1" applyFill="1" applyAlignment="1">
      <alignment horizontal="left"/>
    </xf>
    <xf numFmtId="0" fontId="26" fillId="7" borderId="0" xfId="0" applyFont="1" applyFill="1" applyAlignment="1">
      <alignment horizontal="center"/>
    </xf>
    <xf numFmtId="0" fontId="4" fillId="7" borderId="0" xfId="0" applyFont="1" applyFill="1" applyAlignment="1">
      <alignment horizontal="center"/>
    </xf>
    <xf numFmtId="0" fontId="4" fillId="7" borderId="0" xfId="0" applyFont="1" applyFill="1" applyAlignment="1">
      <alignment horizontal="left"/>
    </xf>
    <xf numFmtId="49" fontId="10" fillId="7" borderId="0" xfId="0" applyNumberFormat="1" applyFont="1" applyFill="1" applyAlignment="1">
      <alignment horizontal="left"/>
    </xf>
    <xf numFmtId="0" fontId="10" fillId="7" borderId="0" xfId="0" applyFont="1" applyFill="1"/>
    <xf numFmtId="0" fontId="24" fillId="2" borderId="5" xfId="0" applyFont="1" applyFill="1" applyBorder="1" applyAlignment="1" applyProtection="1">
      <alignment vertical="center"/>
      <protection hidden="1"/>
    </xf>
    <xf numFmtId="0" fontId="0" fillId="7" borderId="2" xfId="0" applyFill="1" applyBorder="1"/>
    <xf numFmtId="0" fontId="0" fillId="7" borderId="0" xfId="0" applyFill="1"/>
    <xf numFmtId="0" fontId="4" fillId="0" borderId="7" xfId="0" applyFont="1" applyBorder="1"/>
    <xf numFmtId="0" fontId="7" fillId="7" borderId="8" xfId="0" applyFont="1" applyFill="1" applyBorder="1"/>
    <xf numFmtId="0" fontId="4" fillId="7" borderId="9" xfId="0" applyFont="1" applyFill="1" applyBorder="1"/>
    <xf numFmtId="0" fontId="23" fillId="7" borderId="8" xfId="0" applyFont="1" applyFill="1" applyBorder="1"/>
    <xf numFmtId="0" fontId="7" fillId="7" borderId="10" xfId="0" applyFont="1" applyFill="1" applyBorder="1"/>
    <xf numFmtId="0" fontId="4" fillId="7" borderId="11" xfId="0" applyFont="1" applyFill="1" applyBorder="1"/>
    <xf numFmtId="0" fontId="7" fillId="7" borderId="11" xfId="0" applyFont="1" applyFill="1" applyBorder="1"/>
    <xf numFmtId="0" fontId="2" fillId="7" borderId="11" xfId="0" applyFont="1" applyFill="1" applyBorder="1"/>
    <xf numFmtId="0" fontId="2" fillId="7" borderId="11" xfId="0" applyFont="1" applyFill="1" applyBorder="1" applyAlignment="1">
      <alignment horizontal="left"/>
    </xf>
    <xf numFmtId="0" fontId="4" fillId="7" borderId="12" xfId="0" applyFont="1" applyFill="1" applyBorder="1"/>
    <xf numFmtId="0" fontId="4" fillId="6" borderId="9" xfId="0" applyFont="1" applyFill="1" applyBorder="1"/>
    <xf numFmtId="0" fontId="15" fillId="0" borderId="5" xfId="0" applyFont="1" applyBorder="1"/>
    <xf numFmtId="0" fontId="3" fillId="0" borderId="7" xfId="0" applyFont="1" applyBorder="1" applyAlignment="1" applyProtection="1">
      <alignment horizontal="left" vertical="center"/>
      <protection hidden="1"/>
    </xf>
    <xf numFmtId="0" fontId="15" fillId="0" borderId="8" xfId="0" applyFont="1" applyBorder="1"/>
    <xf numFmtId="0" fontId="15" fillId="0" borderId="0" xfId="0" applyFont="1" applyAlignment="1">
      <alignment horizontal="center" vertical="center" wrapText="1"/>
    </xf>
    <xf numFmtId="0" fontId="15" fillId="0" borderId="10" xfId="0" applyFont="1" applyBorder="1"/>
    <xf numFmtId="0" fontId="15" fillId="0" borderId="11" xfId="0" applyFont="1" applyBorder="1" applyAlignment="1">
      <alignment horizontal="center" vertical="center" wrapText="1"/>
    </xf>
    <xf numFmtId="0" fontId="5" fillId="0" borderId="6" xfId="0" applyFont="1" applyBorder="1"/>
    <xf numFmtId="0" fontId="5" fillId="0" borderId="7" xfId="0" applyFont="1" applyBorder="1"/>
    <xf numFmtId="0" fontId="5" fillId="0" borderId="17" xfId="0" applyFont="1" applyBorder="1"/>
    <xf numFmtId="0" fontId="5" fillId="0" borderId="16" xfId="0" applyFont="1" applyBorder="1"/>
    <xf numFmtId="0" fontId="15" fillId="7" borderId="8"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9"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5" fillId="7" borderId="0" xfId="0" applyFont="1" applyFill="1"/>
    <xf numFmtId="0" fontId="5" fillId="7" borderId="30" xfId="0" applyFont="1" applyFill="1" applyBorder="1"/>
    <xf numFmtId="0" fontId="5" fillId="7" borderId="31" xfId="0" applyFont="1" applyFill="1" applyBorder="1"/>
    <xf numFmtId="0" fontId="5" fillId="7" borderId="32" xfId="0" applyFont="1" applyFill="1" applyBorder="1"/>
    <xf numFmtId="0" fontId="5" fillId="7" borderId="3" xfId="0" applyFont="1" applyFill="1" applyBorder="1" applyAlignment="1">
      <alignment horizontal="center"/>
    </xf>
    <xf numFmtId="2" fontId="5" fillId="7" borderId="3" xfId="0" applyNumberFormat="1" applyFont="1" applyFill="1" applyBorder="1"/>
    <xf numFmtId="0" fontId="5" fillId="7" borderId="3" xfId="0" applyFont="1" applyFill="1" applyBorder="1"/>
    <xf numFmtId="0" fontId="29" fillId="0" borderId="6" xfId="0" applyFont="1" applyBorder="1"/>
    <xf numFmtId="0" fontId="29" fillId="0" borderId="7" xfId="0" applyFont="1" applyBorder="1"/>
    <xf numFmtId="0" fontId="27" fillId="7" borderId="0" xfId="0" applyFont="1" applyFill="1"/>
    <xf numFmtId="0" fontId="28" fillId="7" borderId="0" xfId="0" applyFont="1" applyFill="1" applyProtection="1">
      <protection hidden="1"/>
    </xf>
    <xf numFmtId="0" fontId="27" fillId="7" borderId="9" xfId="0" applyFont="1" applyFill="1" applyBorder="1"/>
    <xf numFmtId="0" fontId="28" fillId="7" borderId="0" xfId="0" applyFont="1" applyFill="1" applyAlignment="1" applyProtection="1">
      <alignment horizontal="left"/>
      <protection hidden="1"/>
    </xf>
    <xf numFmtId="0" fontId="6" fillId="7" borderId="10" xfId="0" applyFont="1" applyFill="1" applyBorder="1" applyAlignment="1" applyProtection="1">
      <alignment horizontal="center" vertical="center" wrapText="1"/>
      <protection hidden="1"/>
    </xf>
    <xf numFmtId="0" fontId="20" fillId="7" borderId="26" xfId="0" applyFont="1" applyFill="1" applyBorder="1" applyAlignment="1" applyProtection="1">
      <alignment horizontal="center" vertical="center" wrapText="1"/>
      <protection hidden="1"/>
    </xf>
    <xf numFmtId="0" fontId="30" fillId="7" borderId="26" xfId="0" applyFont="1" applyFill="1" applyBorder="1" applyAlignment="1" applyProtection="1">
      <alignment horizontal="center" vertical="center" wrapText="1"/>
      <protection hidden="1"/>
    </xf>
    <xf numFmtId="0" fontId="13" fillId="7" borderId="26" xfId="0" applyFont="1" applyFill="1" applyBorder="1" applyAlignment="1" applyProtection="1">
      <alignment horizontal="center" vertical="center" wrapText="1"/>
      <protection hidden="1"/>
    </xf>
    <xf numFmtId="0" fontId="20" fillId="7" borderId="27" xfId="0" applyFont="1" applyFill="1" applyBorder="1" applyAlignment="1" applyProtection="1">
      <alignment horizontal="center" vertical="center" wrapText="1"/>
      <protection hidden="1"/>
    </xf>
    <xf numFmtId="0" fontId="26" fillId="7" borderId="8" xfId="0" applyFont="1" applyFill="1" applyBorder="1" applyAlignment="1" applyProtection="1">
      <alignment horizontal="left" vertical="center"/>
      <protection hidden="1"/>
    </xf>
    <xf numFmtId="0" fontId="29" fillId="7" borderId="0" xfId="0" applyFont="1" applyFill="1"/>
    <xf numFmtId="0" fontId="0" fillId="7" borderId="9" xfId="0" applyFill="1" applyBorder="1"/>
    <xf numFmtId="0" fontId="3" fillId="0" borderId="5" xfId="0" applyFont="1" applyBorder="1" applyAlignment="1" applyProtection="1">
      <alignment horizontal="left" vertical="center"/>
      <protection hidden="1"/>
    </xf>
    <xf numFmtId="0" fontId="0" fillId="0" borderId="8" xfId="0" applyBorder="1" applyAlignment="1">
      <alignment horizontal="left"/>
    </xf>
    <xf numFmtId="0" fontId="27" fillId="0" borderId="8" xfId="0" applyFont="1" applyBorder="1" applyAlignment="1">
      <alignment horizontal="left"/>
    </xf>
    <xf numFmtId="0" fontId="0" fillId="0" borderId="10" xfId="0" applyBorder="1" applyAlignment="1">
      <alignment horizontal="left" vertical="center" wrapText="1"/>
    </xf>
    <xf numFmtId="1" fontId="6" fillId="7" borderId="28" xfId="0" applyNumberFormat="1" applyFont="1" applyFill="1" applyBorder="1" applyAlignment="1" applyProtection="1">
      <alignment horizontal="center"/>
      <protection hidden="1"/>
    </xf>
    <xf numFmtId="1" fontId="6" fillId="7" borderId="24" xfId="0" applyNumberFormat="1" applyFont="1" applyFill="1" applyBorder="1" applyAlignment="1" applyProtection="1">
      <alignment horizontal="center"/>
      <protection hidden="1"/>
    </xf>
    <xf numFmtId="3" fontId="31" fillId="7" borderId="24" xfId="0" applyNumberFormat="1" applyFont="1" applyFill="1" applyBorder="1" applyAlignment="1" applyProtection="1">
      <alignment horizontal="right" indent="1"/>
      <protection hidden="1"/>
    </xf>
    <xf numFmtId="1" fontId="6" fillId="7" borderId="23" xfId="0" applyNumberFormat="1" applyFont="1" applyFill="1" applyBorder="1" applyAlignment="1" applyProtection="1">
      <alignment horizontal="center"/>
      <protection hidden="1"/>
    </xf>
    <xf numFmtId="1" fontId="6" fillId="7" borderId="1" xfId="0" applyNumberFormat="1" applyFont="1" applyFill="1" applyBorder="1" applyAlignment="1" applyProtection="1">
      <alignment horizontal="center"/>
      <protection hidden="1"/>
    </xf>
    <xf numFmtId="3" fontId="31" fillId="7" borderId="1" xfId="0" applyNumberFormat="1" applyFont="1" applyFill="1" applyBorder="1" applyAlignment="1" applyProtection="1">
      <alignment horizontal="right" indent="1"/>
      <protection hidden="1"/>
    </xf>
    <xf numFmtId="1" fontId="17" fillId="7" borderId="23" xfId="0" applyNumberFormat="1" applyFont="1" applyFill="1" applyBorder="1" applyAlignment="1" applyProtection="1">
      <alignment horizontal="center"/>
      <protection hidden="1"/>
    </xf>
    <xf numFmtId="1" fontId="17" fillId="7" borderId="1" xfId="0" applyNumberFormat="1" applyFont="1" applyFill="1" applyBorder="1" applyAlignment="1" applyProtection="1">
      <alignment horizontal="center"/>
      <protection hidden="1"/>
    </xf>
    <xf numFmtId="0" fontId="20" fillId="7" borderId="8" xfId="0" applyFont="1" applyFill="1" applyBorder="1"/>
    <xf numFmtId="0" fontId="29" fillId="7" borderId="0" xfId="0" applyFont="1" applyFill="1" applyAlignment="1">
      <alignment horizontal="right" indent="1"/>
    </xf>
    <xf numFmtId="0" fontId="0" fillId="7" borderId="8" xfId="0" applyFill="1" applyBorder="1"/>
    <xf numFmtId="0" fontId="21" fillId="7" borderId="8" xfId="0" applyFont="1" applyFill="1" applyBorder="1"/>
    <xf numFmtId="0" fontId="20" fillId="7" borderId="10" xfId="0" applyFont="1" applyFill="1" applyBorder="1"/>
    <xf numFmtId="0" fontId="0" fillId="7" borderId="11" xfId="0" applyFill="1" applyBorder="1"/>
    <xf numFmtId="164" fontId="17" fillId="7" borderId="24" xfId="0" applyNumberFormat="1" applyFont="1" applyFill="1" applyBorder="1" applyAlignment="1" applyProtection="1">
      <alignment horizontal="center"/>
      <protection hidden="1"/>
    </xf>
    <xf numFmtId="9" fontId="19" fillId="7" borderId="21" xfId="0" applyNumberFormat="1" applyFont="1" applyFill="1" applyBorder="1" applyAlignment="1" applyProtection="1">
      <alignment horizontal="center"/>
      <protection locked="0"/>
    </xf>
    <xf numFmtId="3" fontId="17" fillId="7" borderId="1" xfId="0" applyNumberFormat="1" applyFont="1" applyFill="1" applyBorder="1" applyAlignment="1" applyProtection="1">
      <alignment horizontal="center"/>
      <protection hidden="1"/>
    </xf>
    <xf numFmtId="3" fontId="17" fillId="7" borderId="22" xfId="0" applyNumberFormat="1" applyFont="1" applyFill="1" applyBorder="1" applyAlignment="1" applyProtection="1">
      <alignment horizontal="center"/>
      <protection hidden="1"/>
    </xf>
    <xf numFmtId="0" fontId="6" fillId="7" borderId="11" xfId="0" applyFont="1" applyFill="1" applyBorder="1" applyAlignment="1">
      <alignment horizontal="left" indent="1"/>
    </xf>
    <xf numFmtId="0" fontId="0" fillId="7" borderId="12" xfId="0" applyFill="1" applyBorder="1"/>
    <xf numFmtId="164" fontId="6" fillId="7" borderId="1" xfId="0" applyNumberFormat="1" applyFont="1" applyFill="1" applyBorder="1" applyAlignment="1" applyProtection="1">
      <alignment horizontal="center"/>
      <protection hidden="1"/>
    </xf>
    <xf numFmtId="164" fontId="6" fillId="7" borderId="24" xfId="0" applyNumberFormat="1" applyFont="1" applyFill="1" applyBorder="1" applyAlignment="1" applyProtection="1">
      <alignment horizontal="center"/>
      <protection hidden="1"/>
    </xf>
    <xf numFmtId="17" fontId="6" fillId="0" borderId="8" xfId="0" applyNumberFormat="1" applyFont="1" applyBorder="1" applyAlignment="1" applyProtection="1">
      <alignment horizontal="left"/>
      <protection hidden="1"/>
    </xf>
    <xf numFmtId="17" fontId="17" fillId="0" borderId="8" xfId="0" applyNumberFormat="1" applyFont="1" applyBorder="1" applyAlignment="1" applyProtection="1">
      <alignment horizontal="left"/>
      <protection hidden="1"/>
    </xf>
    <xf numFmtId="0" fontId="20" fillId="0" borderId="8" xfId="0" applyFont="1" applyBorder="1" applyAlignment="1" applyProtection="1">
      <alignment horizontal="left" vertical="center"/>
      <protection hidden="1"/>
    </xf>
    <xf numFmtId="0" fontId="0" fillId="0" borderId="0" xfId="0" applyAlignment="1">
      <alignment horizontal="left"/>
    </xf>
    <xf numFmtId="17" fontId="5" fillId="0" borderId="8" xfId="0" applyNumberFormat="1" applyFont="1" applyBorder="1"/>
    <xf numFmtId="17" fontId="5" fillId="0" borderId="10" xfId="0" applyNumberFormat="1" applyFont="1" applyBorder="1"/>
    <xf numFmtId="0" fontId="15" fillId="0" borderId="19" xfId="0" applyFont="1" applyBorder="1"/>
    <xf numFmtId="17" fontId="5" fillId="0" borderId="8" xfId="0" applyNumberFormat="1" applyFont="1" applyBorder="1" applyAlignment="1">
      <alignment horizontal="right"/>
    </xf>
    <xf numFmtId="17" fontId="5" fillId="0" borderId="5" xfId="0" applyNumberFormat="1" applyFont="1" applyBorder="1"/>
    <xf numFmtId="17" fontId="5" fillId="0" borderId="15" xfId="0" applyNumberFormat="1" applyFont="1" applyBorder="1" applyAlignment="1">
      <alignment horizontal="right"/>
    </xf>
    <xf numFmtId="0" fontId="15" fillId="0" borderId="0" xfId="0" applyFont="1"/>
    <xf numFmtId="0" fontId="4" fillId="0" borderId="0" xfId="0" applyFont="1"/>
    <xf numFmtId="0" fontId="7" fillId="0" borderId="0" xfId="0" applyFont="1"/>
    <xf numFmtId="0" fontId="2" fillId="0" borderId="0" xfId="0" applyFont="1"/>
    <xf numFmtId="0" fontId="2" fillId="0" borderId="0" xfId="0" applyFont="1" applyAlignment="1">
      <alignment horizontal="left"/>
    </xf>
    <xf numFmtId="0" fontId="11" fillId="2" borderId="6" xfId="0" applyFont="1" applyFill="1" applyBorder="1" applyAlignment="1" applyProtection="1">
      <alignment vertical="center"/>
      <protection hidden="1"/>
    </xf>
    <xf numFmtId="0" fontId="4" fillId="2" borderId="7" xfId="0" applyFont="1" applyFill="1" applyBorder="1"/>
    <xf numFmtId="0" fontId="7" fillId="0" borderId="8" xfId="0" applyFont="1" applyBorder="1"/>
    <xf numFmtId="0" fontId="4" fillId="0" borderId="9" xfId="0" applyFont="1" applyBorder="1"/>
    <xf numFmtId="0" fontId="4" fillId="7" borderId="8" xfId="0" applyFont="1" applyFill="1" applyBorder="1"/>
    <xf numFmtId="0" fontId="4" fillId="6" borderId="8" xfId="0" applyFont="1" applyFill="1" applyBorder="1"/>
    <xf numFmtId="0" fontId="0" fillId="7" borderId="33" xfId="0" applyFill="1" applyBorder="1"/>
    <xf numFmtId="0" fontId="0" fillId="7" borderId="34" xfId="0" applyFill="1" applyBorder="1"/>
    <xf numFmtId="0" fontId="4" fillId="0" borderId="5" xfId="0" applyFont="1" applyBorder="1" applyAlignment="1">
      <alignment vertical="center"/>
    </xf>
    <xf numFmtId="0" fontId="4" fillId="0" borderId="6" xfId="0" applyFont="1" applyBorder="1"/>
    <xf numFmtId="0" fontId="4" fillId="0" borderId="6" xfId="0" applyFont="1" applyBorder="1" applyAlignment="1">
      <alignment vertical="center"/>
    </xf>
    <xf numFmtId="0" fontId="2" fillId="0" borderId="6" xfId="0" applyFont="1" applyBorder="1"/>
    <xf numFmtId="0" fontId="10" fillId="0" borderId="6" xfId="0" applyFont="1" applyBorder="1"/>
    <xf numFmtId="0" fontId="10" fillId="0" borderId="11" xfId="0" applyFont="1" applyBorder="1"/>
    <xf numFmtId="0" fontId="4" fillId="0" borderId="12" xfId="0" applyFont="1" applyBorder="1"/>
    <xf numFmtId="0" fontId="4" fillId="0" borderId="11" xfId="0" applyFont="1" applyBorder="1"/>
    <xf numFmtId="0" fontId="7" fillId="0" borderId="5" xfId="0" applyFont="1" applyBorder="1"/>
    <xf numFmtId="0" fontId="7" fillId="0" borderId="6" xfId="0" applyFont="1" applyBorder="1"/>
    <xf numFmtId="0" fontId="2" fillId="0" borderId="6" xfId="0" applyFont="1" applyBorder="1" applyAlignment="1">
      <alignment horizontal="left"/>
    </xf>
    <xf numFmtId="0" fontId="7" fillId="0" borderId="10" xfId="0" applyFont="1" applyBorder="1"/>
    <xf numFmtId="0" fontId="7" fillId="0" borderId="11" xfId="0" applyFont="1" applyBorder="1"/>
    <xf numFmtId="0" fontId="2" fillId="0" borderId="11" xfId="0" applyFont="1" applyBorder="1"/>
    <xf numFmtId="0" fontId="2" fillId="0" borderId="11" xfId="0" applyFont="1" applyBorder="1" applyAlignment="1">
      <alignment horizontal="left"/>
    </xf>
    <xf numFmtId="0" fontId="12" fillId="2" borderId="10" xfId="0" applyFont="1" applyFill="1" applyBorder="1" applyAlignment="1">
      <alignment vertical="center"/>
    </xf>
    <xf numFmtId="0" fontId="13" fillId="2" borderId="11" xfId="0" applyFont="1" applyFill="1" applyBorder="1"/>
    <xf numFmtId="0" fontId="13" fillId="2" borderId="11" xfId="0" applyFont="1" applyFill="1" applyBorder="1" applyAlignment="1">
      <alignment horizontal="left"/>
    </xf>
    <xf numFmtId="0" fontId="13" fillId="2" borderId="12" xfId="0" applyFont="1" applyFill="1" applyBorder="1"/>
    <xf numFmtId="0" fontId="24" fillId="0" borderId="15" xfId="0" applyFont="1" applyBorder="1" applyAlignment="1" applyProtection="1">
      <alignment vertical="center"/>
      <protection hidden="1"/>
    </xf>
    <xf numFmtId="0" fontId="11" fillId="0" borderId="17" xfId="0" applyFont="1" applyBorder="1" applyAlignment="1" applyProtection="1">
      <alignment vertical="center"/>
      <protection hidden="1"/>
    </xf>
    <xf numFmtId="0" fontId="4" fillId="0" borderId="16" xfId="0" applyFont="1" applyBorder="1"/>
    <xf numFmtId="0" fontId="14" fillId="0" borderId="13" xfId="0" applyFont="1" applyBorder="1" applyAlignment="1" applyProtection="1">
      <alignment vertical="center"/>
      <protection hidden="1"/>
    </xf>
    <xf numFmtId="0" fontId="0" fillId="7" borderId="14" xfId="0" applyFill="1" applyBorder="1"/>
    <xf numFmtId="0" fontId="0" fillId="0" borderId="8" xfId="0" applyBorder="1" applyAlignment="1">
      <alignment wrapText="1"/>
    </xf>
    <xf numFmtId="0" fontId="20" fillId="0" borderId="10" xfId="0" applyFont="1" applyBorder="1" applyAlignment="1" applyProtection="1">
      <alignment horizontal="left" vertical="center"/>
      <protection hidden="1"/>
    </xf>
    <xf numFmtId="165" fontId="17" fillId="7" borderId="0" xfId="1" applyNumberFormat="1" applyFont="1" applyFill="1" applyBorder="1" applyAlignment="1" applyProtection="1">
      <alignment horizontal="center"/>
      <protection locked="0"/>
    </xf>
    <xf numFmtId="10" fontId="8" fillId="0" borderId="4" xfId="2" applyNumberFormat="1" applyFont="1" applyFill="1" applyBorder="1" applyAlignment="1" applyProtection="1">
      <alignment horizontal="right"/>
      <protection locked="0"/>
    </xf>
    <xf numFmtId="165" fontId="23" fillId="6" borderId="0" xfId="1" applyNumberFormat="1" applyFont="1" applyFill="1" applyBorder="1" applyAlignment="1">
      <alignment horizontal="center"/>
    </xf>
    <xf numFmtId="165" fontId="0" fillId="0" borderId="12" xfId="0" applyNumberFormat="1" applyBorder="1"/>
    <xf numFmtId="165" fontId="0" fillId="7" borderId="0" xfId="0" applyNumberFormat="1" applyFill="1"/>
    <xf numFmtId="165" fontId="0" fillId="7" borderId="9" xfId="0" applyNumberFormat="1" applyFill="1" applyBorder="1"/>
    <xf numFmtId="165" fontId="0" fillId="6" borderId="0" xfId="0" applyNumberFormat="1" applyFill="1"/>
    <xf numFmtId="165" fontId="0" fillId="6" borderId="9" xfId="0" applyNumberFormat="1" applyFill="1" applyBorder="1"/>
    <xf numFmtId="10" fontId="0" fillId="0" borderId="0" xfId="2" applyNumberFormat="1" applyFont="1"/>
    <xf numFmtId="0" fontId="27" fillId="6" borderId="8" xfId="0" applyFont="1" applyFill="1" applyBorder="1" applyAlignment="1" applyProtection="1">
      <alignment horizontal="left"/>
      <protection hidden="1"/>
    </xf>
    <xf numFmtId="0" fontId="27" fillId="7" borderId="8" xfId="0" applyFont="1" applyFill="1" applyBorder="1" applyAlignment="1" applyProtection="1">
      <alignment horizontal="left"/>
      <protection hidden="1"/>
    </xf>
    <xf numFmtId="9" fontId="8" fillId="0" borderId="4" xfId="2" applyFont="1" applyFill="1" applyBorder="1" applyAlignment="1" applyProtection="1">
      <alignment horizontal="right"/>
      <protection locked="0"/>
    </xf>
    <xf numFmtId="0" fontId="33" fillId="0" borderId="5" xfId="0" applyFont="1" applyBorder="1" applyAlignment="1" applyProtection="1">
      <alignment vertical="center"/>
      <protection hidden="1"/>
    </xf>
    <xf numFmtId="168" fontId="8" fillId="0" borderId="3" xfId="0" applyNumberFormat="1" applyFont="1" applyBorder="1" applyAlignment="1" applyProtection="1">
      <alignment horizontal="center"/>
      <protection locked="0" hidden="1"/>
    </xf>
    <xf numFmtId="169" fontId="6" fillId="7" borderId="24" xfId="0" applyNumberFormat="1" applyFont="1" applyFill="1" applyBorder="1" applyAlignment="1" applyProtection="1">
      <alignment horizontal="right" indent="1"/>
      <protection hidden="1"/>
    </xf>
    <xf numFmtId="169" fontId="6" fillId="7" borderId="1" xfId="0" applyNumberFormat="1" applyFont="1" applyFill="1" applyBorder="1" applyAlignment="1" applyProtection="1">
      <alignment horizontal="right" indent="1"/>
      <protection hidden="1"/>
    </xf>
    <xf numFmtId="169" fontId="17" fillId="7" borderId="1" xfId="0" applyNumberFormat="1" applyFont="1" applyFill="1" applyBorder="1" applyAlignment="1" applyProtection="1">
      <alignment horizontal="right" indent="1"/>
      <protection hidden="1"/>
    </xf>
    <xf numFmtId="169" fontId="6" fillId="7" borderId="0" xfId="0" applyNumberFormat="1" applyFont="1" applyFill="1" applyAlignment="1">
      <alignment horizontal="left" indent="1"/>
    </xf>
    <xf numFmtId="169" fontId="0" fillId="7" borderId="0" xfId="0" applyNumberFormat="1" applyFill="1" applyAlignment="1">
      <alignment horizontal="right" indent="1"/>
    </xf>
    <xf numFmtId="169" fontId="0" fillId="7" borderId="0" xfId="0" applyNumberFormat="1" applyFill="1"/>
    <xf numFmtId="169" fontId="6" fillId="6" borderId="24" xfId="0" applyNumberFormat="1" applyFont="1" applyFill="1" applyBorder="1" applyAlignment="1" applyProtection="1">
      <alignment horizontal="right" indent="1"/>
      <protection hidden="1"/>
    </xf>
    <xf numFmtId="169" fontId="6" fillId="6" borderId="1" xfId="0" applyNumberFormat="1" applyFont="1" applyFill="1" applyBorder="1" applyAlignment="1" applyProtection="1">
      <alignment horizontal="right" indent="1"/>
      <protection hidden="1"/>
    </xf>
    <xf numFmtId="169" fontId="17" fillId="6" borderId="1" xfId="0" applyNumberFormat="1" applyFont="1" applyFill="1" applyBorder="1" applyAlignment="1" applyProtection="1">
      <alignment horizontal="right" indent="1"/>
      <protection hidden="1"/>
    </xf>
    <xf numFmtId="169" fontId="6" fillId="6" borderId="0" xfId="0" applyNumberFormat="1" applyFont="1" applyFill="1" applyAlignment="1">
      <alignment horizontal="left" indent="1"/>
    </xf>
    <xf numFmtId="169" fontId="0" fillId="6" borderId="0" xfId="0" applyNumberFormat="1" applyFill="1" applyAlignment="1">
      <alignment horizontal="right" indent="1"/>
    </xf>
    <xf numFmtId="169" fontId="0" fillId="6" borderId="0" xfId="0" applyNumberFormat="1" applyFill="1"/>
    <xf numFmtId="0" fontId="20" fillId="6" borderId="10" xfId="0" applyFont="1" applyFill="1" applyBorder="1" applyAlignment="1" applyProtection="1">
      <alignment horizontal="center" vertical="center" wrapText="1"/>
      <protection hidden="1"/>
    </xf>
    <xf numFmtId="0" fontId="24" fillId="0" borderId="35" xfId="0" applyFont="1" applyBorder="1" applyAlignment="1" applyProtection="1">
      <alignment vertical="center"/>
      <protection hidden="1"/>
    </xf>
    <xf numFmtId="0" fontId="14" fillId="0" borderId="36" xfId="0" applyFont="1" applyBorder="1" applyAlignment="1" applyProtection="1">
      <alignment vertical="center"/>
      <protection hidden="1"/>
    </xf>
    <xf numFmtId="0" fontId="0" fillId="7" borderId="37" xfId="0" applyFill="1" applyBorder="1"/>
    <xf numFmtId="2" fontId="0" fillId="0" borderId="0" xfId="0" applyNumberFormat="1"/>
    <xf numFmtId="43" fontId="0" fillId="0" borderId="0" xfId="1" applyFont="1" applyFill="1" applyBorder="1"/>
    <xf numFmtId="43" fontId="0" fillId="0" borderId="11" xfId="1" applyFont="1" applyFill="1" applyBorder="1"/>
    <xf numFmtId="3" fontId="9" fillId="7" borderId="24" xfId="0" applyNumberFormat="1" applyFont="1" applyFill="1" applyBorder="1" applyAlignment="1" applyProtection="1">
      <alignment horizontal="center"/>
      <protection hidden="1"/>
    </xf>
    <xf numFmtId="3" fontId="18" fillId="7" borderId="1" xfId="0" applyNumberFormat="1" applyFont="1" applyFill="1" applyBorder="1" applyAlignment="1" applyProtection="1">
      <alignment horizontal="center"/>
      <protection hidden="1"/>
    </xf>
    <xf numFmtId="3" fontId="0" fillId="7" borderId="0" xfId="0" applyNumberFormat="1" applyFill="1"/>
    <xf numFmtId="3" fontId="9" fillId="7" borderId="1" xfId="0" applyNumberFormat="1" applyFont="1" applyFill="1" applyBorder="1" applyAlignment="1" applyProtection="1">
      <alignment horizontal="center"/>
      <protection hidden="1"/>
    </xf>
    <xf numFmtId="3" fontId="9" fillId="6" borderId="24" xfId="0" applyNumberFormat="1" applyFont="1" applyFill="1" applyBorder="1" applyAlignment="1" applyProtection="1">
      <alignment horizontal="center"/>
      <protection hidden="1"/>
    </xf>
    <xf numFmtId="3" fontId="18" fillId="6" borderId="1" xfId="0" applyNumberFormat="1" applyFont="1" applyFill="1" applyBorder="1" applyAlignment="1" applyProtection="1">
      <alignment horizontal="center"/>
      <protection hidden="1"/>
    </xf>
    <xf numFmtId="3" fontId="0" fillId="6" borderId="0" xfId="0" applyNumberFormat="1" applyFill="1"/>
    <xf numFmtId="3" fontId="9" fillId="6" borderId="1" xfId="0" applyNumberFormat="1" applyFont="1" applyFill="1" applyBorder="1" applyAlignment="1" applyProtection="1">
      <alignment horizontal="center"/>
      <protection hidden="1"/>
    </xf>
    <xf numFmtId="0" fontId="15" fillId="7" borderId="10" xfId="0" applyFont="1" applyFill="1" applyBorder="1" applyAlignment="1">
      <alignment horizontal="center" vertical="center" wrapText="1"/>
    </xf>
    <xf numFmtId="0" fontId="21" fillId="0" borderId="38" xfId="0" applyFont="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xf numFmtId="9" fontId="8" fillId="0" borderId="41" xfId="2" applyFont="1" applyFill="1" applyBorder="1" applyAlignment="1" applyProtection="1">
      <alignment horizontal="center"/>
      <protection locked="0" hidden="1"/>
    </xf>
    <xf numFmtId="9" fontId="8" fillId="0" borderId="42" xfId="2" applyFont="1" applyFill="1" applyBorder="1" applyAlignment="1" applyProtection="1">
      <alignment horizontal="center"/>
      <protection locked="0" hidden="1"/>
    </xf>
    <xf numFmtId="9" fontId="8" fillId="0" borderId="43" xfId="2" applyFont="1" applyFill="1" applyBorder="1" applyAlignment="1" applyProtection="1">
      <alignment horizontal="center"/>
      <protection locked="0" hidden="1"/>
    </xf>
    <xf numFmtId="9" fontId="8" fillId="0" borderId="44" xfId="2" applyFont="1" applyFill="1" applyBorder="1" applyAlignment="1" applyProtection="1">
      <alignment horizontal="center"/>
      <protection locked="0" hidden="1"/>
    </xf>
    <xf numFmtId="9" fontId="8" fillId="0" borderId="45" xfId="2" applyFont="1" applyFill="1" applyBorder="1" applyAlignment="1" applyProtection="1">
      <alignment horizontal="center"/>
      <protection locked="0" hidden="1"/>
    </xf>
    <xf numFmtId="9" fontId="8" fillId="0" borderId="46" xfId="2" applyFont="1" applyFill="1" applyBorder="1" applyAlignment="1" applyProtection="1">
      <alignment horizontal="center"/>
      <protection locked="0" hidden="1"/>
    </xf>
    <xf numFmtId="0" fontId="33" fillId="0" borderId="0" xfId="0" applyFont="1" applyAlignment="1" applyProtection="1">
      <alignment vertical="center"/>
      <protection hidden="1"/>
    </xf>
    <xf numFmtId="0" fontId="15" fillId="0" borderId="18" xfId="0" applyFont="1" applyBorder="1"/>
    <xf numFmtId="0" fontId="21" fillId="0" borderId="19" xfId="0" applyFont="1" applyBorder="1" applyAlignment="1">
      <alignment horizontal="center"/>
    </xf>
    <xf numFmtId="0" fontId="23" fillId="7" borderId="47" xfId="0" applyFont="1" applyFill="1" applyBorder="1"/>
    <xf numFmtId="0" fontId="36" fillId="7" borderId="47" xfId="0" applyFont="1" applyFill="1" applyBorder="1"/>
    <xf numFmtId="0" fontId="7" fillId="7" borderId="48" xfId="0" applyFont="1" applyFill="1" applyBorder="1"/>
    <xf numFmtId="0" fontId="7" fillId="7" borderId="49" xfId="0" applyFont="1" applyFill="1" applyBorder="1"/>
    <xf numFmtId="0" fontId="7" fillId="0" borderId="47" xfId="0" applyFont="1" applyBorder="1"/>
    <xf numFmtId="0" fontId="7" fillId="0" borderId="14" xfId="0" applyFont="1" applyBorder="1"/>
    <xf numFmtId="0" fontId="7" fillId="0" borderId="35" xfId="0" applyFont="1" applyBorder="1"/>
    <xf numFmtId="0" fontId="7" fillId="0" borderId="50" xfId="0" applyFont="1" applyBorder="1"/>
    <xf numFmtId="0" fontId="4" fillId="0" borderId="47" xfId="0" applyFont="1" applyBorder="1" applyAlignment="1">
      <alignment horizontal="left"/>
    </xf>
    <xf numFmtId="0" fontId="4" fillId="0" borderId="48" xfId="0" applyFont="1" applyBorder="1" applyAlignment="1">
      <alignment horizontal="left"/>
    </xf>
    <xf numFmtId="0" fontId="4" fillId="0" borderId="49" xfId="0" applyFont="1" applyBorder="1" applyAlignment="1">
      <alignment horizontal="left"/>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2" fillId="8" borderId="5" xfId="0" applyFont="1" applyFill="1" applyBorder="1" applyAlignment="1">
      <alignment horizontal="left" vertical="center" wrapText="1"/>
    </xf>
    <xf numFmtId="0" fontId="32" fillId="8" borderId="6" xfId="0" applyFont="1" applyFill="1" applyBorder="1" applyAlignment="1">
      <alignment horizontal="left" vertical="center" wrapText="1"/>
    </xf>
    <xf numFmtId="0" fontId="32" fillId="8" borderId="7" xfId="0" applyFont="1" applyFill="1" applyBorder="1" applyAlignment="1">
      <alignment horizontal="left" vertical="center" wrapText="1"/>
    </xf>
    <xf numFmtId="0" fontId="32" fillId="8" borderId="10" xfId="0" applyFont="1" applyFill="1" applyBorder="1" applyAlignment="1">
      <alignment horizontal="left" vertical="center" wrapText="1"/>
    </xf>
    <xf numFmtId="0" fontId="32" fillId="8" borderId="11" xfId="0" applyFont="1" applyFill="1" applyBorder="1" applyAlignment="1">
      <alignment horizontal="left" vertical="center" wrapText="1"/>
    </xf>
    <xf numFmtId="0" fontId="32" fillId="8" borderId="12"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0" xfId="0" applyFont="1" applyFill="1" applyBorder="1" applyAlignment="1">
      <alignment horizontal="left" vertical="center" wrapText="1"/>
    </xf>
    <xf numFmtId="0" fontId="16" fillId="5" borderId="11"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15" fillId="0" borderId="18" xfId="0" applyFont="1" applyBorder="1" applyAlignment="1">
      <alignment horizontal="center" vertical="center" textRotation="90"/>
    </xf>
    <xf numFmtId="0" fontId="15" fillId="0" borderId="20" xfId="0" applyFont="1" applyBorder="1" applyAlignment="1">
      <alignment horizontal="center" vertical="center" textRotation="90"/>
    </xf>
    <xf numFmtId="0" fontId="25" fillId="7" borderId="5" xfId="0" applyFont="1" applyFill="1" applyBorder="1" applyAlignment="1">
      <alignment horizontal="center"/>
    </xf>
    <xf numFmtId="0" fontId="25" fillId="7" borderId="6" xfId="0" applyFont="1" applyFill="1" applyBorder="1" applyAlignment="1">
      <alignment horizontal="center"/>
    </xf>
    <xf numFmtId="0" fontId="25" fillId="7" borderId="7" xfId="0" applyFont="1" applyFill="1" applyBorder="1" applyAlignment="1">
      <alignment horizontal="center"/>
    </xf>
    <xf numFmtId="0" fontId="25" fillId="6" borderId="5" xfId="0" applyFont="1" applyFill="1" applyBorder="1" applyAlignment="1">
      <alignment horizontal="center"/>
    </xf>
    <xf numFmtId="0" fontId="25" fillId="6" borderId="6" xfId="0" applyFont="1" applyFill="1" applyBorder="1" applyAlignment="1">
      <alignment horizontal="center"/>
    </xf>
    <xf numFmtId="0" fontId="25" fillId="6" borderId="7" xfId="0" applyFont="1" applyFill="1" applyBorder="1" applyAlignment="1">
      <alignment horizontal="center"/>
    </xf>
    <xf numFmtId="0" fontId="21" fillId="0" borderId="20" xfId="0" applyFont="1" applyBorder="1" applyAlignment="1">
      <alignment horizontal="center" vertical="center" wrapText="1"/>
    </xf>
    <xf numFmtId="0" fontId="33" fillId="0" borderId="17" xfId="0" applyFont="1" applyBorder="1" applyAlignment="1" applyProtection="1">
      <alignment horizontal="center" vertical="center"/>
      <protection hidden="1"/>
    </xf>
    <xf numFmtId="0" fontId="33" fillId="0" borderId="16" xfId="0" applyFont="1" applyBorder="1" applyAlignment="1" applyProtection="1">
      <alignment horizontal="center" vertical="center"/>
      <protection hidden="1"/>
    </xf>
    <xf numFmtId="0" fontId="34" fillId="7" borderId="6" xfId="0" applyFont="1" applyFill="1" applyBorder="1" applyAlignment="1">
      <alignment horizontal="center"/>
    </xf>
    <xf numFmtId="0" fontId="34" fillId="7" borderId="7" xfId="0" applyFont="1" applyFill="1" applyBorder="1" applyAlignment="1">
      <alignment horizontal="center"/>
    </xf>
    <xf numFmtId="0" fontId="34" fillId="6" borderId="5" xfId="0" applyFont="1" applyFill="1" applyBorder="1" applyAlignment="1">
      <alignment horizontal="center"/>
    </xf>
    <xf numFmtId="0" fontId="34" fillId="6" borderId="7" xfId="0" applyFont="1" applyFill="1" applyBorder="1" applyAlignment="1">
      <alignment horizontal="center"/>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35" fillId="6" borderId="8" xfId="0" applyFont="1" applyFill="1" applyBorder="1" applyAlignment="1">
      <alignment horizontal="center"/>
    </xf>
    <xf numFmtId="0" fontId="35" fillId="6" borderId="9"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C1E9FF"/>
      <color rgb="FF0082CA"/>
      <color rgb="FF76B531"/>
      <color rgb="FFB0DD7F"/>
      <color rgb="FF87CB3D"/>
      <color rgb="FFFBFF89"/>
      <color rgb="FF84D3FF"/>
      <color rgb="FF95C11F"/>
      <color rgb="FFD1D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image" Target="../media/image2.pn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image" Target="../media/image2.png"/></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image" Target="../media/image2.png"/></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image" Target="../media/image2.png"/></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image" Target="../media/image2.png"/></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Input!$F$14</c:f>
          <c:strCache>
            <c:ptCount val="1"/>
            <c:pt idx="0">
              <c:v>Feed to yield</c:v>
            </c:pt>
          </c:strCache>
        </c:strRef>
      </c:tx>
      <c:overlay val="0"/>
      <c:txPr>
        <a:bodyPr/>
        <a:lstStyle/>
        <a:p>
          <a:pPr>
            <a:defRPr sz="1050" b="1"/>
          </a:pPr>
          <a:endParaRPr lang="en-US"/>
        </a:p>
      </c:txPr>
    </c:title>
    <c:autoTitleDeleted val="0"/>
    <c:plotArea>
      <c:layout>
        <c:manualLayout>
          <c:layoutTarget val="inner"/>
          <c:xMode val="edge"/>
          <c:yMode val="edge"/>
          <c:x val="0.16714508551199783"/>
          <c:y val="0.1826013726893764"/>
          <c:w val="0.79904951382856504"/>
          <c:h val="0.61259505663396352"/>
        </c:manualLayout>
      </c:layout>
      <c:lineChart>
        <c:grouping val="standard"/>
        <c:varyColors val="0"/>
        <c:ser>
          <c:idx val="1"/>
          <c:order val="0"/>
          <c:tx>
            <c:v>Cows</c:v>
          </c:tx>
          <c:spPr>
            <a:ln>
              <a:solidFill>
                <a:srgbClr val="95C11F"/>
              </a:solidFill>
            </a:ln>
          </c:spPr>
          <c:marker>
            <c:symbol val="none"/>
          </c:marker>
          <c:cat>
            <c:numRef>
              <c:f>'Yields for charts'!$A$4:$A$15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'Yields for charts'!$V$4:$V$15</c:f>
              <c:numCache>
                <c:formatCode>_-* #,##0.0_-;\-* #,##0.0_-;_-* "-"??_-;_-@_-</c:formatCode>
                <c:ptCount val="12"/>
                <c:pt idx="0">
                  <c:v>21.830486274081757</c:v>
                </c:pt>
                <c:pt idx="1">
                  <c:v>30.999290509196094</c:v>
                </c:pt>
                <c:pt idx="2">
                  <c:v>30.126071058232821</c:v>
                </c:pt>
                <c:pt idx="3">
                  <c:v>26.85149811712056</c:v>
                </c:pt>
                <c:pt idx="4">
                  <c:v>24.450144626971571</c:v>
                </c:pt>
                <c:pt idx="5">
                  <c:v>21.830486274081757</c:v>
                </c:pt>
                <c:pt idx="6">
                  <c:v>19.210827921191946</c:v>
                </c:pt>
                <c:pt idx="7">
                  <c:v>16.809474431042954</c:v>
                </c:pt>
                <c:pt idx="8">
                  <c:v>14.40812094089396</c:v>
                </c:pt>
                <c:pt idx="9">
                  <c:v>12.225072313485786</c:v>
                </c:pt>
                <c:pt idx="10">
                  <c:v>0</c:v>
                </c:pt>
                <c:pt idx="11">
                  <c:v>0</c:v>
                </c:pt>
              </c:numCache>
            </c:numRef>
          </c:val>
          <c:smooth val="0"/>
          <c:extLst>
            <c:ext xmlns:c16="http://schemas.microsoft.com/office/drawing/2014/chart" uri="{C3380CC4-5D6E-409C-BE32-E72D297353CC}">
              <c16:uniqueId val="{00000000-48CD-40CE-B126-9AFE207C63A7}"/>
            </c:ext>
          </c:extLst>
        </c:ser>
        <c:ser>
          <c:idx val="0"/>
          <c:order val="1"/>
          <c:tx>
            <c:v>Heifers</c:v>
          </c:tx>
          <c:spPr>
            <a:ln>
              <a:solidFill>
                <a:srgbClr val="0082CA"/>
              </a:solidFill>
            </a:ln>
          </c:spPr>
          <c:marker>
            <c:symbol val="none"/>
          </c:marker>
          <c:cat>
            <c:numRef>
              <c:f>'Yields for charts'!$A$4:$A$15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'Yields for charts'!$U$4:$U$15</c:f>
              <c:numCache>
                <c:formatCode>_-* #,##0.0_-;\-* #,##0.0_-;_-* "-"??_-;_-@_-</c:formatCode>
                <c:ptCount val="12"/>
                <c:pt idx="0">
                  <c:v>15.772526333024068</c:v>
                </c:pt>
                <c:pt idx="1">
                  <c:v>20.411504666266442</c:v>
                </c:pt>
                <c:pt idx="2">
                  <c:v>23.194891666211866</c:v>
                </c:pt>
                <c:pt idx="3">
                  <c:v>22.823773399552476</c:v>
                </c:pt>
                <c:pt idx="4">
                  <c:v>21.15374119958522</c:v>
                </c:pt>
                <c:pt idx="5">
                  <c:v>19.483708999617967</c:v>
                </c:pt>
                <c:pt idx="6">
                  <c:v>17.999235932980408</c:v>
                </c:pt>
                <c:pt idx="7">
                  <c:v>16.329203733013152</c:v>
                </c:pt>
                <c:pt idx="8">
                  <c:v>14.844730666375595</c:v>
                </c:pt>
                <c:pt idx="9">
                  <c:v>13.545816733067729</c:v>
                </c:pt>
                <c:pt idx="10">
                  <c:v>0</c:v>
                </c:pt>
                <c:pt idx="11">
                  <c:v>0</c:v>
                </c:pt>
              </c:numCache>
            </c:numRef>
          </c:val>
          <c:smooth val="0"/>
          <c:extLst>
            <c:ext xmlns:c16="http://schemas.microsoft.com/office/drawing/2014/chart" uri="{C3380CC4-5D6E-409C-BE32-E72D297353CC}">
              <c16:uniqueId val="{00000001-48CD-40CE-B126-9AFE207C63A7}"/>
            </c:ext>
          </c:extLst>
        </c:ser>
        <c:dLbls>
          <c:showLegendKey val="0"/>
          <c:showVal val="0"/>
          <c:showCatName val="0"/>
          <c:showSerName val="0"/>
          <c:showPercent val="0"/>
          <c:showBubbleSize val="0"/>
        </c:dLbls>
        <c:smooth val="0"/>
        <c:axId val="426723672"/>
        <c:axId val="426724064"/>
      </c:lineChart>
      <c:catAx>
        <c:axId val="426723672"/>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GB"/>
                  <a:t>Month of lactation</a:t>
                </a:r>
              </a:p>
            </c:rich>
          </c:tx>
          <c:layout>
            <c:manualLayout>
              <c:xMode val="edge"/>
              <c:yMode val="edge"/>
              <c:x val="0.35891569286323288"/>
              <c:y val="0.89661355710817836"/>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6724064"/>
        <c:crosses val="autoZero"/>
        <c:auto val="0"/>
        <c:lblAlgn val="ctr"/>
        <c:lblOffset val="100"/>
        <c:noMultiLvlLbl val="0"/>
      </c:catAx>
      <c:valAx>
        <c:axId val="426724064"/>
        <c:scaling>
          <c:orientation val="minMax"/>
        </c:scaling>
        <c:delete val="0"/>
        <c:axPos val="l"/>
        <c:majorGridlines/>
        <c:title>
          <c:tx>
            <c:rich>
              <a:bodyPr/>
              <a:lstStyle/>
              <a:p>
                <a:pPr>
                  <a:defRPr sz="900" b="0" i="0" u="none" strike="noStrike" baseline="0">
                    <a:solidFill>
                      <a:srgbClr val="000000"/>
                    </a:solidFill>
                    <a:latin typeface="Arial"/>
                    <a:ea typeface="Arial"/>
                    <a:cs typeface="Arial"/>
                  </a:defRPr>
                </a:pPr>
                <a:r>
                  <a:rPr lang="en-GB" sz="900"/>
                  <a:t>l/cow/day</a:t>
                </a:r>
              </a:p>
            </c:rich>
          </c:tx>
          <c:layout>
            <c:manualLayout>
              <c:xMode val="edge"/>
              <c:yMode val="edge"/>
              <c:x val="1.7789484499490943E-2"/>
              <c:y val="0.38968697333885893"/>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26723672"/>
        <c:crosses val="autoZero"/>
        <c:crossBetween val="midCat"/>
      </c:valAx>
      <c:spPr>
        <a:noFill/>
        <a:ln w="12700">
          <a:solidFill>
            <a:srgbClr val="808080"/>
          </a:solidFill>
          <a:prstDash val="solid"/>
        </a:ln>
      </c:spPr>
    </c:plotArea>
    <c:legend>
      <c:legendPos val="r"/>
      <c:legendEntry>
        <c:idx val="1"/>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5614876432399571"/>
          <c:y val="0.20441001024604544"/>
          <c:w val="0.27402135231316727"/>
          <c:h val="0.1619666792987774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Input!$F$27</c:f>
          <c:strCache>
            <c:ptCount val="1"/>
            <c:pt idx="0">
              <c:v>Feed to yield</c:v>
            </c:pt>
          </c:strCache>
        </c:strRef>
      </c:tx>
      <c:overlay val="0"/>
      <c:txPr>
        <a:bodyPr/>
        <a:lstStyle/>
        <a:p>
          <a:pPr>
            <a:defRPr sz="1050" b="1"/>
          </a:pPr>
          <a:endParaRPr lang="en-US"/>
        </a:p>
      </c:txPr>
    </c:title>
    <c:autoTitleDeleted val="0"/>
    <c:plotArea>
      <c:layout>
        <c:manualLayout>
          <c:layoutTarget val="inner"/>
          <c:xMode val="edge"/>
          <c:yMode val="edge"/>
          <c:x val="0.16714508551199783"/>
          <c:y val="0.1826013726893764"/>
          <c:w val="0.79904951382856504"/>
          <c:h val="0.61259505663396352"/>
        </c:manualLayout>
      </c:layout>
      <c:lineChart>
        <c:grouping val="standard"/>
        <c:varyColors val="0"/>
        <c:ser>
          <c:idx val="1"/>
          <c:order val="0"/>
          <c:tx>
            <c:v>Cows</c:v>
          </c:tx>
          <c:spPr>
            <a:ln>
              <a:solidFill>
                <a:srgbClr val="76B531"/>
              </a:solidFill>
            </a:ln>
          </c:spPr>
          <c:marker>
            <c:symbol val="none"/>
          </c:marker>
          <c:cat>
            <c:numRef>
              <c:f>'Yields for charts'!$A$4:$A$15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'Yields for charts'!$AA$4:$AA$15</c:f>
              <c:numCache>
                <c:formatCode>_-* #,##0.0_-;\-* #,##0.0_-;_-* "-"??_-;_-@_-</c:formatCode>
                <c:ptCount val="12"/>
                <c:pt idx="0">
                  <c:v>21.830486274081757</c:v>
                </c:pt>
                <c:pt idx="1">
                  <c:v>30.999290509196094</c:v>
                </c:pt>
                <c:pt idx="2">
                  <c:v>30.126071058232821</c:v>
                </c:pt>
                <c:pt idx="3">
                  <c:v>26.85149811712056</c:v>
                </c:pt>
                <c:pt idx="4">
                  <c:v>24.450144626971571</c:v>
                </c:pt>
                <c:pt idx="5">
                  <c:v>21.830486274081757</c:v>
                </c:pt>
                <c:pt idx="6">
                  <c:v>19.210827921191946</c:v>
                </c:pt>
                <c:pt idx="7">
                  <c:v>16.809474431042954</c:v>
                </c:pt>
                <c:pt idx="8">
                  <c:v>14.40812094089396</c:v>
                </c:pt>
                <c:pt idx="9">
                  <c:v>12.225072313485786</c:v>
                </c:pt>
                <c:pt idx="10">
                  <c:v>0</c:v>
                </c:pt>
                <c:pt idx="11">
                  <c:v>0</c:v>
                </c:pt>
              </c:numCache>
            </c:numRef>
          </c:val>
          <c:smooth val="0"/>
          <c:extLst>
            <c:ext xmlns:c16="http://schemas.microsoft.com/office/drawing/2014/chart" uri="{C3380CC4-5D6E-409C-BE32-E72D297353CC}">
              <c16:uniqueId val="{00000000-5FD9-488A-8F2C-80DC0A922C69}"/>
            </c:ext>
          </c:extLst>
        </c:ser>
        <c:ser>
          <c:idx val="0"/>
          <c:order val="1"/>
          <c:tx>
            <c:v>Heifers</c:v>
          </c:tx>
          <c:spPr>
            <a:ln>
              <a:solidFill>
                <a:srgbClr val="0082CA"/>
              </a:solidFill>
            </a:ln>
          </c:spPr>
          <c:marker>
            <c:symbol val="none"/>
          </c:marker>
          <c:cat>
            <c:numRef>
              <c:f>'Yields for charts'!$A$4:$A$15</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'Yields for charts'!$Z$4:$Z$15</c:f>
              <c:numCache>
                <c:formatCode>_-* #,##0.0_-;\-* #,##0.0_-;_-* "-"??_-;_-@_-</c:formatCode>
                <c:ptCount val="12"/>
                <c:pt idx="0">
                  <c:v>15.772526333024068</c:v>
                </c:pt>
                <c:pt idx="1">
                  <c:v>20.411504666266442</c:v>
                </c:pt>
                <c:pt idx="2">
                  <c:v>23.194891666211866</c:v>
                </c:pt>
                <c:pt idx="3">
                  <c:v>22.823773399552476</c:v>
                </c:pt>
                <c:pt idx="4">
                  <c:v>21.15374119958522</c:v>
                </c:pt>
                <c:pt idx="5">
                  <c:v>19.483708999617967</c:v>
                </c:pt>
                <c:pt idx="6">
                  <c:v>17.999235932980408</c:v>
                </c:pt>
                <c:pt idx="7">
                  <c:v>16.329203733013152</c:v>
                </c:pt>
                <c:pt idx="8">
                  <c:v>14.844730666375595</c:v>
                </c:pt>
                <c:pt idx="9">
                  <c:v>13.545816733067729</c:v>
                </c:pt>
                <c:pt idx="10">
                  <c:v>0</c:v>
                </c:pt>
                <c:pt idx="11">
                  <c:v>0</c:v>
                </c:pt>
              </c:numCache>
            </c:numRef>
          </c:val>
          <c:smooth val="0"/>
          <c:extLst>
            <c:ext xmlns:c16="http://schemas.microsoft.com/office/drawing/2014/chart" uri="{C3380CC4-5D6E-409C-BE32-E72D297353CC}">
              <c16:uniqueId val="{00000001-5FD9-488A-8F2C-80DC0A922C69}"/>
            </c:ext>
          </c:extLst>
        </c:ser>
        <c:dLbls>
          <c:showLegendKey val="0"/>
          <c:showVal val="0"/>
          <c:showCatName val="0"/>
          <c:showSerName val="0"/>
          <c:showPercent val="0"/>
          <c:showBubbleSize val="0"/>
        </c:dLbls>
        <c:smooth val="0"/>
        <c:axId val="474447640"/>
        <c:axId val="474448032"/>
      </c:lineChart>
      <c:catAx>
        <c:axId val="474447640"/>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n-GB"/>
                  <a:t>Month of lactation</a:t>
                </a:r>
              </a:p>
            </c:rich>
          </c:tx>
          <c:layout>
            <c:manualLayout>
              <c:xMode val="edge"/>
              <c:yMode val="edge"/>
              <c:x val="0.35891569286323288"/>
              <c:y val="0.89661355710817836"/>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4448032"/>
        <c:crosses val="autoZero"/>
        <c:auto val="0"/>
        <c:lblAlgn val="ctr"/>
        <c:lblOffset val="100"/>
        <c:noMultiLvlLbl val="0"/>
      </c:catAx>
      <c:valAx>
        <c:axId val="474448032"/>
        <c:scaling>
          <c:orientation val="minMax"/>
        </c:scaling>
        <c:delete val="0"/>
        <c:axPos val="l"/>
        <c:majorGridlines/>
        <c:title>
          <c:tx>
            <c:rich>
              <a:bodyPr/>
              <a:lstStyle/>
              <a:p>
                <a:pPr>
                  <a:defRPr sz="900" b="0" i="0" u="none" strike="noStrike" baseline="0">
                    <a:solidFill>
                      <a:srgbClr val="000000"/>
                    </a:solidFill>
                    <a:latin typeface="Arial"/>
                    <a:ea typeface="Arial"/>
                    <a:cs typeface="Arial"/>
                  </a:defRPr>
                </a:pPr>
                <a:r>
                  <a:rPr lang="en-GB" sz="900"/>
                  <a:t>l/cow/day</a:t>
                </a:r>
              </a:p>
            </c:rich>
          </c:tx>
          <c:layout>
            <c:manualLayout>
              <c:xMode val="edge"/>
              <c:yMode val="edge"/>
              <c:x val="1.7789484499490943E-2"/>
              <c:y val="0.38968697333885893"/>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4447640"/>
        <c:crosses val="autoZero"/>
        <c:crossBetween val="midCat"/>
      </c:valAx>
      <c:spPr>
        <a:noFill/>
        <a:ln w="12700">
          <a:solidFill>
            <a:srgbClr val="808080"/>
          </a:solidFill>
          <a:prstDash val="solid"/>
        </a:ln>
      </c:spPr>
    </c:plotArea>
    <c:legend>
      <c:legendPos val="r"/>
      <c:legendEntry>
        <c:idx val="1"/>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5614876432399571"/>
          <c:y val="0.20441001024604544"/>
          <c:w val="0.27402135231316727"/>
          <c:h val="0.16196667929877745"/>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Monthly milk production (litres)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chart'!$C$1</c:f>
              <c:strCache>
                <c:ptCount val="1"/>
                <c:pt idx="0">
                  <c:v>Current scenario</c:v>
                </c:pt>
              </c:strCache>
            </c:strRef>
          </c:tx>
          <c:spPr>
            <a:ln w="25400">
              <a:solidFill>
                <a:srgbClr val="95C11F"/>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chart'!$C$3:$C$38</c:f>
              <c:numCache>
                <c:formatCode>#,##0</c:formatCode>
                <c:ptCount val="36"/>
                <c:pt idx="0">
                  <c:v>82191.780821917826</c:v>
                </c:pt>
                <c:pt idx="1">
                  <c:v>84931.50684931509</c:v>
                </c:pt>
                <c:pt idx="2">
                  <c:v>82191.780821917826</c:v>
                </c:pt>
                <c:pt idx="3">
                  <c:v>84931.50684931509</c:v>
                </c:pt>
                <c:pt idx="4">
                  <c:v>84931.50684931509</c:v>
                </c:pt>
                <c:pt idx="5">
                  <c:v>82191.780821917826</c:v>
                </c:pt>
                <c:pt idx="6">
                  <c:v>84931.50684931509</c:v>
                </c:pt>
                <c:pt idx="7">
                  <c:v>82191.780821917826</c:v>
                </c:pt>
                <c:pt idx="8">
                  <c:v>84931.50684931509</c:v>
                </c:pt>
                <c:pt idx="9">
                  <c:v>84931.50684931509</c:v>
                </c:pt>
                <c:pt idx="10">
                  <c:v>76712.328767123312</c:v>
                </c:pt>
                <c:pt idx="11">
                  <c:v>84931.50684931509</c:v>
                </c:pt>
                <c:pt idx="12">
                  <c:v>82191.780821917826</c:v>
                </c:pt>
                <c:pt idx="13">
                  <c:v>84931.50684931509</c:v>
                </c:pt>
                <c:pt idx="14">
                  <c:v>82191.780821917826</c:v>
                </c:pt>
                <c:pt idx="15">
                  <c:v>84931.50684931509</c:v>
                </c:pt>
                <c:pt idx="16">
                  <c:v>84931.50684931509</c:v>
                </c:pt>
                <c:pt idx="17">
                  <c:v>82191.780821917826</c:v>
                </c:pt>
                <c:pt idx="18">
                  <c:v>84931.50684931509</c:v>
                </c:pt>
                <c:pt idx="19">
                  <c:v>82191.780821917826</c:v>
                </c:pt>
                <c:pt idx="20">
                  <c:v>84931.50684931509</c:v>
                </c:pt>
                <c:pt idx="21">
                  <c:v>84931.50684931509</c:v>
                </c:pt>
                <c:pt idx="22">
                  <c:v>76712.328767123312</c:v>
                </c:pt>
                <c:pt idx="23">
                  <c:v>84931.50684931509</c:v>
                </c:pt>
                <c:pt idx="24">
                  <c:v>82191.780821917826</c:v>
                </c:pt>
                <c:pt idx="25">
                  <c:v>84931.50684931509</c:v>
                </c:pt>
                <c:pt idx="26">
                  <c:v>82191.780821917826</c:v>
                </c:pt>
                <c:pt idx="27">
                  <c:v>84931.50684931509</c:v>
                </c:pt>
                <c:pt idx="28">
                  <c:v>84931.50684931509</c:v>
                </c:pt>
                <c:pt idx="29">
                  <c:v>82191.780821917826</c:v>
                </c:pt>
                <c:pt idx="30">
                  <c:v>84931.50684931509</c:v>
                </c:pt>
                <c:pt idx="31">
                  <c:v>82191.780821917826</c:v>
                </c:pt>
                <c:pt idx="32">
                  <c:v>84931.50684931509</c:v>
                </c:pt>
                <c:pt idx="33">
                  <c:v>84931.50684931509</c:v>
                </c:pt>
                <c:pt idx="34">
                  <c:v>76712.328767123312</c:v>
                </c:pt>
                <c:pt idx="35">
                  <c:v>84931.50684931509</c:v>
                </c:pt>
              </c:numCache>
            </c:numRef>
          </c:val>
          <c:smooth val="1"/>
          <c:extLst>
            <c:ext xmlns:c16="http://schemas.microsoft.com/office/drawing/2014/chart" uri="{C3380CC4-5D6E-409C-BE32-E72D297353CC}">
              <c16:uniqueId val="{00000000-6F57-442D-95A3-7A259D3D5246}"/>
            </c:ext>
          </c:extLst>
        </c:ser>
        <c:ser>
          <c:idx val="0"/>
          <c:order val="1"/>
          <c:tx>
            <c:strRef>
              <c:f>'Outputs for chart'!$D$1</c:f>
              <c:strCache>
                <c:ptCount val="1"/>
                <c:pt idx="0">
                  <c:v>Alternative scenario</c:v>
                </c:pt>
              </c:strCache>
            </c:strRef>
          </c:tx>
          <c:spPr>
            <a:ln w="25400">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chart'!$D$3:$D$38</c:f>
              <c:numCache>
                <c:formatCode>#,##0</c:formatCode>
                <c:ptCount val="36"/>
                <c:pt idx="0">
                  <c:v>56733.731966727479</c:v>
                </c:pt>
                <c:pt idx="1">
                  <c:v>58624.856365618391</c:v>
                </c:pt>
                <c:pt idx="2">
                  <c:v>56733.731966727479</c:v>
                </c:pt>
                <c:pt idx="3">
                  <c:v>58624.856365618391</c:v>
                </c:pt>
                <c:pt idx="4">
                  <c:v>58624.856365618391</c:v>
                </c:pt>
                <c:pt idx="5">
                  <c:v>56733.731966727479</c:v>
                </c:pt>
                <c:pt idx="6">
                  <c:v>58624.856365618391</c:v>
                </c:pt>
                <c:pt idx="7">
                  <c:v>56733.731966727479</c:v>
                </c:pt>
                <c:pt idx="8">
                  <c:v>58624.856365618391</c:v>
                </c:pt>
                <c:pt idx="9">
                  <c:v>58624.856365618391</c:v>
                </c:pt>
                <c:pt idx="10">
                  <c:v>52951.483168945648</c:v>
                </c:pt>
                <c:pt idx="11">
                  <c:v>58624.856365618391</c:v>
                </c:pt>
                <c:pt idx="12">
                  <c:v>56733.731966727479</c:v>
                </c:pt>
                <c:pt idx="13">
                  <c:v>58624.856365618391</c:v>
                </c:pt>
                <c:pt idx="14">
                  <c:v>56733.731966727479</c:v>
                </c:pt>
                <c:pt idx="15">
                  <c:v>58624.856365618391</c:v>
                </c:pt>
                <c:pt idx="16">
                  <c:v>58624.856365618391</c:v>
                </c:pt>
                <c:pt idx="17">
                  <c:v>56733.731966727479</c:v>
                </c:pt>
                <c:pt idx="18">
                  <c:v>58624.856365618391</c:v>
                </c:pt>
                <c:pt idx="19">
                  <c:v>56733.731966727479</c:v>
                </c:pt>
                <c:pt idx="20">
                  <c:v>58624.856365618391</c:v>
                </c:pt>
                <c:pt idx="21">
                  <c:v>58624.856365618391</c:v>
                </c:pt>
                <c:pt idx="22">
                  <c:v>52951.483168945648</c:v>
                </c:pt>
                <c:pt idx="23">
                  <c:v>58624.856365618391</c:v>
                </c:pt>
                <c:pt idx="24">
                  <c:v>56733.731966727479</c:v>
                </c:pt>
                <c:pt idx="25">
                  <c:v>58624.856365618391</c:v>
                </c:pt>
                <c:pt idx="26">
                  <c:v>56733.731966727479</c:v>
                </c:pt>
                <c:pt idx="27">
                  <c:v>58624.856365618391</c:v>
                </c:pt>
                <c:pt idx="28">
                  <c:v>58624.856365618391</c:v>
                </c:pt>
                <c:pt idx="29">
                  <c:v>56733.731966727479</c:v>
                </c:pt>
                <c:pt idx="30">
                  <c:v>58624.856365618391</c:v>
                </c:pt>
                <c:pt idx="31">
                  <c:v>56733.731966727479</c:v>
                </c:pt>
                <c:pt idx="32">
                  <c:v>58624.856365618391</c:v>
                </c:pt>
                <c:pt idx="33">
                  <c:v>58624.856365618391</c:v>
                </c:pt>
                <c:pt idx="34">
                  <c:v>52951.483168945648</c:v>
                </c:pt>
                <c:pt idx="35">
                  <c:v>58624.856365618391</c:v>
                </c:pt>
              </c:numCache>
            </c:numRef>
          </c:val>
          <c:smooth val="1"/>
          <c:extLst>
            <c:ext xmlns:c16="http://schemas.microsoft.com/office/drawing/2014/chart" uri="{C3380CC4-5D6E-409C-BE32-E72D297353CC}">
              <c16:uniqueId val="{00000001-6F57-442D-95A3-7A259D3D5246}"/>
            </c:ext>
          </c:extLst>
        </c:ser>
        <c:dLbls>
          <c:showLegendKey val="0"/>
          <c:showVal val="0"/>
          <c:showCatName val="0"/>
          <c:showSerName val="0"/>
          <c:showPercent val="0"/>
          <c:showBubbleSize val="0"/>
        </c:dLbls>
        <c:smooth val="0"/>
        <c:axId val="474448816"/>
        <c:axId val="474449208"/>
      </c:lineChart>
      <c:catAx>
        <c:axId val="474448816"/>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74449208"/>
        <c:crosses val="autoZero"/>
        <c:auto val="0"/>
        <c:lblAlgn val="ctr"/>
        <c:lblOffset val="100"/>
        <c:noMultiLvlLbl val="0"/>
      </c:catAx>
      <c:valAx>
        <c:axId val="474449208"/>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'000 litres per month</a:t>
                </a:r>
              </a:p>
            </c:rich>
          </c:tx>
          <c:layout>
            <c:manualLayout>
              <c:xMode val="edge"/>
              <c:yMode val="edge"/>
              <c:x val="1.7789483462381222E-2"/>
              <c:y val="0.19613878783907146"/>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4448816"/>
        <c:crosses val="autoZero"/>
        <c:crossBetween val="midCat"/>
        <c:dispUnits>
          <c:builtInUnit val="thousands"/>
        </c:dispUnits>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Daily milk production (litres)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chart'!$E$1</c:f>
              <c:strCache>
                <c:ptCount val="1"/>
                <c:pt idx="0">
                  <c:v>Current scenario</c:v>
                </c:pt>
              </c:strCache>
            </c:strRef>
          </c:tx>
          <c:spPr>
            <a:ln w="25400">
              <a:solidFill>
                <a:srgbClr val="95C11F"/>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chart'!$E$3:$E$38</c:f>
              <c:numCache>
                <c:formatCode>#,##0</c:formatCode>
                <c:ptCount val="36"/>
                <c:pt idx="0">
                  <c:v>2739.7260273972611</c:v>
                </c:pt>
                <c:pt idx="1">
                  <c:v>2739.7260273972611</c:v>
                </c:pt>
                <c:pt idx="2">
                  <c:v>2739.7260273972611</c:v>
                </c:pt>
                <c:pt idx="3">
                  <c:v>2739.7260273972611</c:v>
                </c:pt>
                <c:pt idx="4">
                  <c:v>2739.7260273972611</c:v>
                </c:pt>
                <c:pt idx="5">
                  <c:v>2739.7260273972611</c:v>
                </c:pt>
                <c:pt idx="6">
                  <c:v>2739.7260273972611</c:v>
                </c:pt>
                <c:pt idx="7">
                  <c:v>2739.7260273972611</c:v>
                </c:pt>
                <c:pt idx="8">
                  <c:v>2739.7260273972611</c:v>
                </c:pt>
                <c:pt idx="9">
                  <c:v>2739.7260273972611</c:v>
                </c:pt>
                <c:pt idx="10">
                  <c:v>2739.7260273972611</c:v>
                </c:pt>
                <c:pt idx="11">
                  <c:v>2739.7260273972611</c:v>
                </c:pt>
                <c:pt idx="12">
                  <c:v>2739.7260273972611</c:v>
                </c:pt>
                <c:pt idx="13">
                  <c:v>2739.7260273972611</c:v>
                </c:pt>
                <c:pt idx="14">
                  <c:v>2739.7260273972611</c:v>
                </c:pt>
                <c:pt idx="15">
                  <c:v>2739.7260273972611</c:v>
                </c:pt>
                <c:pt idx="16">
                  <c:v>2739.7260273972611</c:v>
                </c:pt>
                <c:pt idx="17">
                  <c:v>2739.7260273972611</c:v>
                </c:pt>
                <c:pt idx="18">
                  <c:v>2739.7260273972611</c:v>
                </c:pt>
                <c:pt idx="19">
                  <c:v>2739.7260273972611</c:v>
                </c:pt>
                <c:pt idx="20">
                  <c:v>2739.7260273972611</c:v>
                </c:pt>
                <c:pt idx="21">
                  <c:v>2739.7260273972611</c:v>
                </c:pt>
                <c:pt idx="22">
                  <c:v>2739.7260273972611</c:v>
                </c:pt>
                <c:pt idx="23">
                  <c:v>2739.7260273972611</c:v>
                </c:pt>
                <c:pt idx="24">
                  <c:v>2739.7260273972611</c:v>
                </c:pt>
                <c:pt idx="25">
                  <c:v>2739.7260273972611</c:v>
                </c:pt>
                <c:pt idx="26">
                  <c:v>2739.7260273972611</c:v>
                </c:pt>
                <c:pt idx="27">
                  <c:v>2739.7260273972611</c:v>
                </c:pt>
                <c:pt idx="28">
                  <c:v>2739.7260273972611</c:v>
                </c:pt>
                <c:pt idx="29">
                  <c:v>2739.7260273972611</c:v>
                </c:pt>
                <c:pt idx="30">
                  <c:v>2739.7260273972611</c:v>
                </c:pt>
                <c:pt idx="31">
                  <c:v>2739.7260273972611</c:v>
                </c:pt>
                <c:pt idx="32">
                  <c:v>2739.7260273972611</c:v>
                </c:pt>
                <c:pt idx="33">
                  <c:v>2739.7260273972611</c:v>
                </c:pt>
                <c:pt idx="34">
                  <c:v>2739.7260273972611</c:v>
                </c:pt>
                <c:pt idx="35">
                  <c:v>2739.7260273972611</c:v>
                </c:pt>
              </c:numCache>
            </c:numRef>
          </c:val>
          <c:smooth val="1"/>
          <c:extLst>
            <c:ext xmlns:c16="http://schemas.microsoft.com/office/drawing/2014/chart" uri="{C3380CC4-5D6E-409C-BE32-E72D297353CC}">
              <c16:uniqueId val="{00000000-53EB-48A6-A60D-ACDE73A85F51}"/>
            </c:ext>
          </c:extLst>
        </c:ser>
        <c:ser>
          <c:idx val="0"/>
          <c:order val="1"/>
          <c:tx>
            <c:strRef>
              <c:f>'Outputs for chart'!$F$1</c:f>
              <c:strCache>
                <c:ptCount val="1"/>
                <c:pt idx="0">
                  <c:v>Alternative scenario</c:v>
                </c:pt>
              </c:strCache>
            </c:strRef>
          </c:tx>
          <c:spPr>
            <a:ln w="25400">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chart'!$F$3:$F$38</c:f>
              <c:numCache>
                <c:formatCode>#,##0</c:formatCode>
                <c:ptCount val="36"/>
                <c:pt idx="0">
                  <c:v>1891.1243988909159</c:v>
                </c:pt>
                <c:pt idx="1">
                  <c:v>1891.1243988909159</c:v>
                </c:pt>
                <c:pt idx="2">
                  <c:v>1891.1243988909159</c:v>
                </c:pt>
                <c:pt idx="3">
                  <c:v>1891.1243988909159</c:v>
                </c:pt>
                <c:pt idx="4">
                  <c:v>1891.1243988909159</c:v>
                </c:pt>
                <c:pt idx="5">
                  <c:v>1891.1243988909159</c:v>
                </c:pt>
                <c:pt idx="6">
                  <c:v>1891.1243988909159</c:v>
                </c:pt>
                <c:pt idx="7">
                  <c:v>1891.1243988909159</c:v>
                </c:pt>
                <c:pt idx="8">
                  <c:v>1891.1243988909159</c:v>
                </c:pt>
                <c:pt idx="9">
                  <c:v>1891.1243988909159</c:v>
                </c:pt>
                <c:pt idx="10">
                  <c:v>1891.1243988909159</c:v>
                </c:pt>
                <c:pt idx="11">
                  <c:v>1891.1243988909159</c:v>
                </c:pt>
                <c:pt idx="12">
                  <c:v>1891.1243988909159</c:v>
                </c:pt>
                <c:pt idx="13">
                  <c:v>1891.1243988909159</c:v>
                </c:pt>
                <c:pt idx="14">
                  <c:v>1891.1243988909159</c:v>
                </c:pt>
                <c:pt idx="15">
                  <c:v>1891.1243988909159</c:v>
                </c:pt>
                <c:pt idx="16">
                  <c:v>1891.1243988909159</c:v>
                </c:pt>
                <c:pt idx="17">
                  <c:v>1891.1243988909159</c:v>
                </c:pt>
                <c:pt idx="18">
                  <c:v>1891.1243988909159</c:v>
                </c:pt>
                <c:pt idx="19">
                  <c:v>1891.1243988909159</c:v>
                </c:pt>
                <c:pt idx="20">
                  <c:v>1891.1243988909159</c:v>
                </c:pt>
                <c:pt idx="21">
                  <c:v>1891.1243988909159</c:v>
                </c:pt>
                <c:pt idx="22">
                  <c:v>1891.1243988909159</c:v>
                </c:pt>
                <c:pt idx="23">
                  <c:v>1891.1243988909159</c:v>
                </c:pt>
                <c:pt idx="24">
                  <c:v>1891.1243988909159</c:v>
                </c:pt>
                <c:pt idx="25">
                  <c:v>1891.1243988909159</c:v>
                </c:pt>
                <c:pt idx="26">
                  <c:v>1891.1243988909159</c:v>
                </c:pt>
                <c:pt idx="27">
                  <c:v>1891.1243988909159</c:v>
                </c:pt>
                <c:pt idx="28">
                  <c:v>1891.1243988909159</c:v>
                </c:pt>
                <c:pt idx="29">
                  <c:v>1891.1243988909159</c:v>
                </c:pt>
                <c:pt idx="30">
                  <c:v>1891.1243988909159</c:v>
                </c:pt>
                <c:pt idx="31">
                  <c:v>1891.1243988909159</c:v>
                </c:pt>
                <c:pt idx="32">
                  <c:v>1891.1243988909159</c:v>
                </c:pt>
                <c:pt idx="33">
                  <c:v>1891.1243988909159</c:v>
                </c:pt>
                <c:pt idx="34">
                  <c:v>1891.1243988909159</c:v>
                </c:pt>
                <c:pt idx="35">
                  <c:v>1891.1243988909159</c:v>
                </c:pt>
              </c:numCache>
            </c:numRef>
          </c:val>
          <c:smooth val="1"/>
          <c:extLst>
            <c:ext xmlns:c16="http://schemas.microsoft.com/office/drawing/2014/chart" uri="{C3380CC4-5D6E-409C-BE32-E72D297353CC}">
              <c16:uniqueId val="{00000001-53EB-48A6-A60D-ACDE73A85F51}"/>
            </c:ext>
          </c:extLst>
        </c:ser>
        <c:dLbls>
          <c:showLegendKey val="0"/>
          <c:showVal val="0"/>
          <c:showCatName val="0"/>
          <c:showSerName val="0"/>
          <c:showPercent val="0"/>
          <c:showBubbleSize val="0"/>
        </c:dLbls>
        <c:smooth val="0"/>
        <c:axId val="475615488"/>
        <c:axId val="475615880"/>
      </c:lineChart>
      <c:catAx>
        <c:axId val="475615488"/>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75615880"/>
        <c:crosses val="autoZero"/>
        <c:auto val="0"/>
        <c:lblAlgn val="ctr"/>
        <c:lblOffset val="100"/>
        <c:noMultiLvlLbl val="0"/>
      </c:catAx>
      <c:valAx>
        <c:axId val="475615880"/>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Litres per day</a:t>
                </a:r>
              </a:p>
            </c:rich>
          </c:tx>
          <c:layout>
            <c:manualLayout>
              <c:xMode val="edge"/>
              <c:yMode val="edge"/>
              <c:x val="1.5142283561584157E-2"/>
              <c:y val="0.25709103223904106"/>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15488"/>
        <c:crosses val="autoZero"/>
        <c:crossBetween val="midCat"/>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Total milk revenue (£'000s)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chart'!$I$1</c:f>
              <c:strCache>
                <c:ptCount val="1"/>
                <c:pt idx="0">
                  <c:v>Current scenario</c:v>
                </c:pt>
              </c:strCache>
            </c:strRef>
          </c:tx>
          <c:spPr>
            <a:ln w="25400">
              <a:solidFill>
                <a:srgbClr val="95C11F"/>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chart'!$I$3:$I$38</c:f>
              <c:numCache>
                <c:formatCode>_("£"* #,##0_);_("£"* \(#,##0\);_("£"* "-"_);_(@_)</c:formatCode>
                <c:ptCount val="36"/>
                <c:pt idx="0">
                  <c:v>23013.698630136991</c:v>
                </c:pt>
                <c:pt idx="1">
                  <c:v>23780.821917808222</c:v>
                </c:pt>
                <c:pt idx="2">
                  <c:v>23013.698630136991</c:v>
                </c:pt>
                <c:pt idx="3">
                  <c:v>23780.821917808222</c:v>
                </c:pt>
                <c:pt idx="4">
                  <c:v>23780.821917808222</c:v>
                </c:pt>
                <c:pt idx="5">
                  <c:v>23013.698630136991</c:v>
                </c:pt>
                <c:pt idx="6">
                  <c:v>23780.821917808222</c:v>
                </c:pt>
                <c:pt idx="7">
                  <c:v>23013.698630136991</c:v>
                </c:pt>
                <c:pt idx="8">
                  <c:v>23780.821917808222</c:v>
                </c:pt>
                <c:pt idx="9">
                  <c:v>23780.821917808222</c:v>
                </c:pt>
                <c:pt idx="10">
                  <c:v>21479.452054794529</c:v>
                </c:pt>
                <c:pt idx="11">
                  <c:v>23780.821917808222</c:v>
                </c:pt>
                <c:pt idx="12">
                  <c:v>23013.698630136991</c:v>
                </c:pt>
                <c:pt idx="13">
                  <c:v>23780.821917808222</c:v>
                </c:pt>
                <c:pt idx="14">
                  <c:v>23013.698630136991</c:v>
                </c:pt>
                <c:pt idx="15">
                  <c:v>23780.821917808222</c:v>
                </c:pt>
                <c:pt idx="16">
                  <c:v>23780.821917808222</c:v>
                </c:pt>
                <c:pt idx="17">
                  <c:v>23013.698630136991</c:v>
                </c:pt>
                <c:pt idx="18">
                  <c:v>23780.821917808222</c:v>
                </c:pt>
                <c:pt idx="19">
                  <c:v>23013.698630136991</c:v>
                </c:pt>
                <c:pt idx="20">
                  <c:v>23780.821917808222</c:v>
                </c:pt>
                <c:pt idx="21">
                  <c:v>23780.821917808222</c:v>
                </c:pt>
                <c:pt idx="22">
                  <c:v>21479.452054794529</c:v>
                </c:pt>
                <c:pt idx="23">
                  <c:v>23780.821917808222</c:v>
                </c:pt>
                <c:pt idx="24">
                  <c:v>23013.698630136991</c:v>
                </c:pt>
                <c:pt idx="25">
                  <c:v>23780.821917808222</c:v>
                </c:pt>
                <c:pt idx="26">
                  <c:v>23013.698630136991</c:v>
                </c:pt>
                <c:pt idx="27">
                  <c:v>23780.821917808222</c:v>
                </c:pt>
                <c:pt idx="28">
                  <c:v>23780.821917808222</c:v>
                </c:pt>
                <c:pt idx="29">
                  <c:v>23013.698630136991</c:v>
                </c:pt>
                <c:pt idx="30">
                  <c:v>23780.821917808222</c:v>
                </c:pt>
                <c:pt idx="31">
                  <c:v>23013.698630136991</c:v>
                </c:pt>
                <c:pt idx="32">
                  <c:v>23780.821917808222</c:v>
                </c:pt>
                <c:pt idx="33">
                  <c:v>23780.821917808222</c:v>
                </c:pt>
                <c:pt idx="34">
                  <c:v>21479.452054794529</c:v>
                </c:pt>
                <c:pt idx="35">
                  <c:v>23780.821917808222</c:v>
                </c:pt>
              </c:numCache>
            </c:numRef>
          </c:val>
          <c:smooth val="1"/>
          <c:extLst>
            <c:ext xmlns:c16="http://schemas.microsoft.com/office/drawing/2014/chart" uri="{C3380CC4-5D6E-409C-BE32-E72D297353CC}">
              <c16:uniqueId val="{00000000-4D37-4509-86C0-3F52EF16C6DB}"/>
            </c:ext>
          </c:extLst>
        </c:ser>
        <c:ser>
          <c:idx val="0"/>
          <c:order val="1"/>
          <c:tx>
            <c:strRef>
              <c:f>'Outputs for chart'!$J$1</c:f>
              <c:strCache>
                <c:ptCount val="1"/>
                <c:pt idx="0">
                  <c:v>Alternative scenario</c:v>
                </c:pt>
              </c:strCache>
            </c:strRef>
          </c:tx>
          <c:spPr>
            <a:ln w="25400">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chart'!$J$3:$J$38</c:f>
              <c:numCache>
                <c:formatCode>_("£"* #,##0_);_("£"* \(#,##0\);_("£"* "-"_);_(@_)</c:formatCode>
                <c:ptCount val="36"/>
                <c:pt idx="0">
                  <c:v>15885.444950683694</c:v>
                </c:pt>
                <c:pt idx="1">
                  <c:v>16414.959782373149</c:v>
                </c:pt>
                <c:pt idx="2">
                  <c:v>15885.444950683694</c:v>
                </c:pt>
                <c:pt idx="3">
                  <c:v>16414.959782373149</c:v>
                </c:pt>
                <c:pt idx="4">
                  <c:v>16414.959782373149</c:v>
                </c:pt>
                <c:pt idx="5">
                  <c:v>15885.444950683694</c:v>
                </c:pt>
                <c:pt idx="6">
                  <c:v>16414.959782373149</c:v>
                </c:pt>
                <c:pt idx="7">
                  <c:v>15885.444950683694</c:v>
                </c:pt>
                <c:pt idx="8">
                  <c:v>16414.959782373149</c:v>
                </c:pt>
                <c:pt idx="9">
                  <c:v>16414.959782373149</c:v>
                </c:pt>
                <c:pt idx="10">
                  <c:v>14826.415287304781</c:v>
                </c:pt>
                <c:pt idx="11">
                  <c:v>16414.959782373149</c:v>
                </c:pt>
                <c:pt idx="12">
                  <c:v>15885.444950683694</c:v>
                </c:pt>
                <c:pt idx="13">
                  <c:v>16414.959782373149</c:v>
                </c:pt>
                <c:pt idx="14">
                  <c:v>15885.444950683694</c:v>
                </c:pt>
                <c:pt idx="15">
                  <c:v>16414.959782373149</c:v>
                </c:pt>
                <c:pt idx="16">
                  <c:v>16414.959782373149</c:v>
                </c:pt>
                <c:pt idx="17">
                  <c:v>15885.444950683694</c:v>
                </c:pt>
                <c:pt idx="18">
                  <c:v>16414.959782373149</c:v>
                </c:pt>
                <c:pt idx="19">
                  <c:v>15885.444950683694</c:v>
                </c:pt>
                <c:pt idx="20">
                  <c:v>16414.959782373149</c:v>
                </c:pt>
                <c:pt idx="21">
                  <c:v>16414.959782373149</c:v>
                </c:pt>
                <c:pt idx="22">
                  <c:v>14826.415287304781</c:v>
                </c:pt>
                <c:pt idx="23">
                  <c:v>16414.959782373149</c:v>
                </c:pt>
                <c:pt idx="24">
                  <c:v>15885.444950683694</c:v>
                </c:pt>
                <c:pt idx="25">
                  <c:v>16414.959782373149</c:v>
                </c:pt>
                <c:pt idx="26">
                  <c:v>15885.444950683694</c:v>
                </c:pt>
                <c:pt idx="27">
                  <c:v>16414.959782373149</c:v>
                </c:pt>
                <c:pt idx="28">
                  <c:v>16414.959782373149</c:v>
                </c:pt>
                <c:pt idx="29">
                  <c:v>15885.444950683694</c:v>
                </c:pt>
                <c:pt idx="30">
                  <c:v>16414.959782373149</c:v>
                </c:pt>
                <c:pt idx="31">
                  <c:v>15885.444950683694</c:v>
                </c:pt>
                <c:pt idx="32">
                  <c:v>16414.959782373149</c:v>
                </c:pt>
                <c:pt idx="33">
                  <c:v>16414.959782373149</c:v>
                </c:pt>
                <c:pt idx="34">
                  <c:v>14826.415287304781</c:v>
                </c:pt>
                <c:pt idx="35">
                  <c:v>16414.959782373149</c:v>
                </c:pt>
              </c:numCache>
            </c:numRef>
          </c:val>
          <c:smooth val="1"/>
          <c:extLst>
            <c:ext xmlns:c16="http://schemas.microsoft.com/office/drawing/2014/chart" uri="{C3380CC4-5D6E-409C-BE32-E72D297353CC}">
              <c16:uniqueId val="{00000001-4D37-4509-86C0-3F52EF16C6DB}"/>
            </c:ext>
          </c:extLst>
        </c:ser>
        <c:dLbls>
          <c:showLegendKey val="0"/>
          <c:showVal val="0"/>
          <c:showCatName val="0"/>
          <c:showSerName val="0"/>
          <c:showPercent val="0"/>
          <c:showBubbleSize val="0"/>
        </c:dLbls>
        <c:smooth val="0"/>
        <c:axId val="475616664"/>
        <c:axId val="432769928"/>
      </c:lineChart>
      <c:catAx>
        <c:axId val="475616664"/>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32769928"/>
        <c:crosses val="autoZero"/>
        <c:auto val="0"/>
        <c:lblAlgn val="ctr"/>
        <c:lblOffset val="100"/>
        <c:noMultiLvlLbl val="0"/>
      </c:catAx>
      <c:valAx>
        <c:axId val="432769928"/>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£'000s per month</a:t>
                </a:r>
              </a:p>
            </c:rich>
          </c:tx>
          <c:layout>
            <c:manualLayout>
              <c:xMode val="edge"/>
              <c:yMode val="edge"/>
              <c:x val="1.7789483462381222E-2"/>
              <c:y val="0.19613878783907146"/>
            </c:manualLayout>
          </c:layout>
          <c:overlay val="0"/>
        </c:title>
        <c:numFmt formatCode="0.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16664"/>
        <c:crosses val="autoZero"/>
        <c:crossBetween val="midCat"/>
        <c:dispUnits>
          <c:builtInUnit val="thousands"/>
        </c:dispUnits>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Daily yield per cow in milk (litres)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chart'!$G$1</c:f>
              <c:strCache>
                <c:ptCount val="1"/>
                <c:pt idx="0">
                  <c:v>Current scenario</c:v>
                </c:pt>
              </c:strCache>
            </c:strRef>
          </c:tx>
          <c:spPr>
            <a:ln w="25400">
              <a:solidFill>
                <a:srgbClr val="95C11F"/>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chart'!$G$3:$G$38</c:f>
              <c:numCache>
                <c:formatCode>General</c:formatCode>
                <c:ptCount val="36"/>
                <c:pt idx="0">
                  <c:v>21.074815595363546</c:v>
                </c:pt>
                <c:pt idx="1">
                  <c:v>21.074815595363546</c:v>
                </c:pt>
                <c:pt idx="2">
                  <c:v>21.074815595363546</c:v>
                </c:pt>
                <c:pt idx="3">
                  <c:v>21.074815595363546</c:v>
                </c:pt>
                <c:pt idx="4">
                  <c:v>21.074815595363546</c:v>
                </c:pt>
                <c:pt idx="5">
                  <c:v>21.074815595363546</c:v>
                </c:pt>
                <c:pt idx="6">
                  <c:v>21.074815595363546</c:v>
                </c:pt>
                <c:pt idx="7">
                  <c:v>21.074815595363546</c:v>
                </c:pt>
                <c:pt idx="8">
                  <c:v>21.074815595363546</c:v>
                </c:pt>
                <c:pt idx="9">
                  <c:v>21.074815595363546</c:v>
                </c:pt>
                <c:pt idx="10">
                  <c:v>21.074815595363546</c:v>
                </c:pt>
                <c:pt idx="11">
                  <c:v>21.074815595363546</c:v>
                </c:pt>
                <c:pt idx="12">
                  <c:v>21.074815595363546</c:v>
                </c:pt>
                <c:pt idx="13">
                  <c:v>21.074815595363546</c:v>
                </c:pt>
                <c:pt idx="14">
                  <c:v>21.074815595363546</c:v>
                </c:pt>
                <c:pt idx="15">
                  <c:v>21.074815595363546</c:v>
                </c:pt>
                <c:pt idx="16">
                  <c:v>21.074815595363546</c:v>
                </c:pt>
                <c:pt idx="17">
                  <c:v>21.074815595363546</c:v>
                </c:pt>
                <c:pt idx="18">
                  <c:v>21.074815595363546</c:v>
                </c:pt>
                <c:pt idx="19">
                  <c:v>21.074815595363546</c:v>
                </c:pt>
                <c:pt idx="20">
                  <c:v>21.074815595363546</c:v>
                </c:pt>
                <c:pt idx="21">
                  <c:v>21.074815595363546</c:v>
                </c:pt>
                <c:pt idx="22">
                  <c:v>21.074815595363546</c:v>
                </c:pt>
                <c:pt idx="23">
                  <c:v>21.074815595363546</c:v>
                </c:pt>
                <c:pt idx="24">
                  <c:v>21.074815595363546</c:v>
                </c:pt>
                <c:pt idx="25">
                  <c:v>21.074815595363546</c:v>
                </c:pt>
                <c:pt idx="26">
                  <c:v>21.074815595363546</c:v>
                </c:pt>
                <c:pt idx="27">
                  <c:v>21.074815595363546</c:v>
                </c:pt>
                <c:pt idx="28">
                  <c:v>21.074815595363546</c:v>
                </c:pt>
                <c:pt idx="29">
                  <c:v>21.074815595363546</c:v>
                </c:pt>
                <c:pt idx="30">
                  <c:v>21.074815595363546</c:v>
                </c:pt>
                <c:pt idx="31">
                  <c:v>21.074815595363546</c:v>
                </c:pt>
                <c:pt idx="32">
                  <c:v>21.074815595363546</c:v>
                </c:pt>
                <c:pt idx="33">
                  <c:v>21.074815595363546</c:v>
                </c:pt>
                <c:pt idx="34">
                  <c:v>21.074815595363546</c:v>
                </c:pt>
                <c:pt idx="35">
                  <c:v>21.074815595363546</c:v>
                </c:pt>
              </c:numCache>
            </c:numRef>
          </c:val>
          <c:smooth val="1"/>
          <c:extLst>
            <c:ext xmlns:c16="http://schemas.microsoft.com/office/drawing/2014/chart" uri="{C3380CC4-5D6E-409C-BE32-E72D297353CC}">
              <c16:uniqueId val="{00000000-EA65-410D-BB23-42000C69A79B}"/>
            </c:ext>
          </c:extLst>
        </c:ser>
        <c:ser>
          <c:idx val="0"/>
          <c:order val="1"/>
          <c:tx>
            <c:strRef>
              <c:f>'Outputs for chart'!$H$1</c:f>
              <c:strCache>
                <c:ptCount val="1"/>
                <c:pt idx="0">
                  <c:v>Alternative scenario</c:v>
                </c:pt>
              </c:strCache>
            </c:strRef>
          </c:tx>
          <c:spPr>
            <a:ln w="25400">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chart'!$H$3:$H$38</c:f>
              <c:numCache>
                <c:formatCode>General</c:formatCode>
                <c:ptCount val="36"/>
                <c:pt idx="0">
                  <c:v>24.24518460116559</c:v>
                </c:pt>
                <c:pt idx="1">
                  <c:v>24.24518460116559</c:v>
                </c:pt>
                <c:pt idx="2">
                  <c:v>24.24518460116559</c:v>
                </c:pt>
                <c:pt idx="3">
                  <c:v>24.24518460116559</c:v>
                </c:pt>
                <c:pt idx="4">
                  <c:v>24.24518460116559</c:v>
                </c:pt>
                <c:pt idx="5">
                  <c:v>24.24518460116559</c:v>
                </c:pt>
                <c:pt idx="6">
                  <c:v>24.24518460116559</c:v>
                </c:pt>
                <c:pt idx="7">
                  <c:v>24.24518460116559</c:v>
                </c:pt>
                <c:pt idx="8">
                  <c:v>24.24518460116559</c:v>
                </c:pt>
                <c:pt idx="9">
                  <c:v>24.24518460116559</c:v>
                </c:pt>
                <c:pt idx="10">
                  <c:v>24.24518460116559</c:v>
                </c:pt>
                <c:pt idx="11">
                  <c:v>24.24518460116559</c:v>
                </c:pt>
                <c:pt idx="12">
                  <c:v>24.24518460116559</c:v>
                </c:pt>
                <c:pt idx="13">
                  <c:v>24.24518460116559</c:v>
                </c:pt>
                <c:pt idx="14">
                  <c:v>24.24518460116559</c:v>
                </c:pt>
                <c:pt idx="15">
                  <c:v>24.24518460116559</c:v>
                </c:pt>
                <c:pt idx="16">
                  <c:v>24.24518460116559</c:v>
                </c:pt>
                <c:pt idx="17">
                  <c:v>24.24518460116559</c:v>
                </c:pt>
                <c:pt idx="18">
                  <c:v>24.24518460116559</c:v>
                </c:pt>
                <c:pt idx="19">
                  <c:v>24.24518460116559</c:v>
                </c:pt>
                <c:pt idx="20">
                  <c:v>24.24518460116559</c:v>
                </c:pt>
                <c:pt idx="21">
                  <c:v>24.24518460116559</c:v>
                </c:pt>
                <c:pt idx="22">
                  <c:v>24.24518460116559</c:v>
                </c:pt>
                <c:pt idx="23">
                  <c:v>24.24518460116559</c:v>
                </c:pt>
                <c:pt idx="24">
                  <c:v>24.24518460116559</c:v>
                </c:pt>
                <c:pt idx="25">
                  <c:v>24.24518460116559</c:v>
                </c:pt>
                <c:pt idx="26">
                  <c:v>24.24518460116559</c:v>
                </c:pt>
                <c:pt idx="27">
                  <c:v>24.24518460116559</c:v>
                </c:pt>
                <c:pt idx="28">
                  <c:v>24.24518460116559</c:v>
                </c:pt>
                <c:pt idx="29">
                  <c:v>24.24518460116559</c:v>
                </c:pt>
                <c:pt idx="30">
                  <c:v>24.24518460116559</c:v>
                </c:pt>
                <c:pt idx="31">
                  <c:v>24.24518460116559</c:v>
                </c:pt>
                <c:pt idx="32">
                  <c:v>24.24518460116559</c:v>
                </c:pt>
                <c:pt idx="33">
                  <c:v>24.24518460116559</c:v>
                </c:pt>
                <c:pt idx="34">
                  <c:v>24.24518460116559</c:v>
                </c:pt>
                <c:pt idx="35">
                  <c:v>24.24518460116559</c:v>
                </c:pt>
              </c:numCache>
            </c:numRef>
          </c:val>
          <c:smooth val="1"/>
          <c:extLst>
            <c:ext xmlns:c16="http://schemas.microsoft.com/office/drawing/2014/chart" uri="{C3380CC4-5D6E-409C-BE32-E72D297353CC}">
              <c16:uniqueId val="{00000001-EA65-410D-BB23-42000C69A79B}"/>
            </c:ext>
          </c:extLst>
        </c:ser>
        <c:dLbls>
          <c:showLegendKey val="0"/>
          <c:showVal val="0"/>
          <c:showCatName val="0"/>
          <c:showSerName val="0"/>
          <c:showPercent val="0"/>
          <c:showBubbleSize val="0"/>
        </c:dLbls>
        <c:smooth val="0"/>
        <c:axId val="432770712"/>
        <c:axId val="432771104"/>
      </c:lineChart>
      <c:catAx>
        <c:axId val="432770712"/>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32771104"/>
        <c:crosses val="autoZero"/>
        <c:auto val="0"/>
        <c:lblAlgn val="ctr"/>
        <c:lblOffset val="100"/>
        <c:noMultiLvlLbl val="0"/>
      </c:catAx>
      <c:valAx>
        <c:axId val="432771104"/>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Litres per day</a:t>
                </a:r>
              </a:p>
            </c:rich>
          </c:tx>
          <c:layout>
            <c:manualLayout>
              <c:xMode val="edge"/>
              <c:yMode val="edge"/>
              <c:x val="3.1025797787022084E-2"/>
              <c:y val="0.26851983502062238"/>
            </c:manualLayout>
          </c:layout>
          <c:overlay val="0"/>
        </c:title>
        <c:numFmt formatCode="0.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32770712"/>
        <c:crosses val="autoZero"/>
        <c:crossBetween val="midCat"/>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Feed costs</a:t>
            </a:r>
            <a:r>
              <a:rPr lang="en-US" sz="1400" b="1" baseline="0"/>
              <a:t> </a:t>
            </a:r>
            <a:r>
              <a:rPr lang="en-US" sz="1400" b="1"/>
              <a:t>(£'000s)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chart'!$K$1</c:f>
              <c:strCache>
                <c:ptCount val="1"/>
                <c:pt idx="0">
                  <c:v>Current scenario</c:v>
                </c:pt>
              </c:strCache>
            </c:strRef>
          </c:tx>
          <c:spPr>
            <a:ln>
              <a:solidFill>
                <a:srgbClr val="76B531"/>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chart'!$K$3:$K$38</c:f>
              <c:numCache>
                <c:formatCode>_("£"* #,##0_);_("£"* \(#,##0\);_("£"* "-"_);_(@_)</c:formatCode>
                <c:ptCount val="36"/>
                <c:pt idx="0">
                  <c:v>5772</c:v>
                </c:pt>
                <c:pt idx="1">
                  <c:v>5964.4000000000005</c:v>
                </c:pt>
                <c:pt idx="2">
                  <c:v>5772</c:v>
                </c:pt>
                <c:pt idx="3">
                  <c:v>5964.4000000000005</c:v>
                </c:pt>
                <c:pt idx="4">
                  <c:v>5964.4000000000005</c:v>
                </c:pt>
                <c:pt idx="5">
                  <c:v>5772</c:v>
                </c:pt>
                <c:pt idx="6">
                  <c:v>5964.4000000000005</c:v>
                </c:pt>
                <c:pt idx="7">
                  <c:v>5772</c:v>
                </c:pt>
                <c:pt idx="8">
                  <c:v>5964.4000000000005</c:v>
                </c:pt>
                <c:pt idx="9">
                  <c:v>5964.4000000000005</c:v>
                </c:pt>
                <c:pt idx="10">
                  <c:v>5387.2000000000007</c:v>
                </c:pt>
                <c:pt idx="11">
                  <c:v>5964.4000000000005</c:v>
                </c:pt>
                <c:pt idx="12">
                  <c:v>5772</c:v>
                </c:pt>
                <c:pt idx="13">
                  <c:v>5964.4000000000005</c:v>
                </c:pt>
                <c:pt idx="14">
                  <c:v>5772</c:v>
                </c:pt>
                <c:pt idx="15">
                  <c:v>5964.4000000000005</c:v>
                </c:pt>
                <c:pt idx="16">
                  <c:v>5964.4000000000005</c:v>
                </c:pt>
                <c:pt idx="17">
                  <c:v>5772</c:v>
                </c:pt>
                <c:pt idx="18">
                  <c:v>5964.4000000000005</c:v>
                </c:pt>
                <c:pt idx="19">
                  <c:v>5772</c:v>
                </c:pt>
                <c:pt idx="20">
                  <c:v>5964.4000000000005</c:v>
                </c:pt>
                <c:pt idx="21">
                  <c:v>5964.4000000000005</c:v>
                </c:pt>
                <c:pt idx="22">
                  <c:v>5387.2000000000007</c:v>
                </c:pt>
                <c:pt idx="23">
                  <c:v>5964.4000000000005</c:v>
                </c:pt>
                <c:pt idx="24">
                  <c:v>5772</c:v>
                </c:pt>
                <c:pt idx="25">
                  <c:v>5964.4000000000005</c:v>
                </c:pt>
                <c:pt idx="26">
                  <c:v>5772</c:v>
                </c:pt>
                <c:pt idx="27">
                  <c:v>5964.4000000000005</c:v>
                </c:pt>
                <c:pt idx="28">
                  <c:v>5964.4000000000005</c:v>
                </c:pt>
                <c:pt idx="29">
                  <c:v>5772</c:v>
                </c:pt>
                <c:pt idx="30">
                  <c:v>5964.4000000000005</c:v>
                </c:pt>
                <c:pt idx="31">
                  <c:v>5772</c:v>
                </c:pt>
                <c:pt idx="32">
                  <c:v>5964.4000000000005</c:v>
                </c:pt>
                <c:pt idx="33">
                  <c:v>5964.4000000000005</c:v>
                </c:pt>
                <c:pt idx="34">
                  <c:v>5387.2000000000007</c:v>
                </c:pt>
                <c:pt idx="35">
                  <c:v>5964.4000000000005</c:v>
                </c:pt>
              </c:numCache>
            </c:numRef>
          </c:val>
          <c:smooth val="1"/>
          <c:extLst>
            <c:ext xmlns:c16="http://schemas.microsoft.com/office/drawing/2014/chart" uri="{C3380CC4-5D6E-409C-BE32-E72D297353CC}">
              <c16:uniqueId val="{00000000-DB5A-48B4-8166-9337ACA81C32}"/>
            </c:ext>
          </c:extLst>
        </c:ser>
        <c:ser>
          <c:idx val="0"/>
          <c:order val="1"/>
          <c:tx>
            <c:strRef>
              <c:f>'Outputs for chart'!$L$1</c:f>
              <c:strCache>
                <c:ptCount val="1"/>
                <c:pt idx="0">
                  <c:v>Alternative scenario</c:v>
                </c:pt>
              </c:strCache>
            </c:strRef>
          </c:tx>
          <c:spPr>
            <a:ln>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chart'!$L$3:$L$38</c:f>
              <c:numCache>
                <c:formatCode>_("£"* #,##0_);_("£"* \(#,##0\);_("£"* "-"_);_(@_)</c:formatCode>
                <c:ptCount val="36"/>
                <c:pt idx="0">
                  <c:v>3463.2000000000003</c:v>
                </c:pt>
                <c:pt idx="1">
                  <c:v>3578.6400000000003</c:v>
                </c:pt>
                <c:pt idx="2">
                  <c:v>3463.2000000000003</c:v>
                </c:pt>
                <c:pt idx="3">
                  <c:v>3578.6400000000003</c:v>
                </c:pt>
                <c:pt idx="4">
                  <c:v>3578.6400000000003</c:v>
                </c:pt>
                <c:pt idx="5">
                  <c:v>3463.2000000000003</c:v>
                </c:pt>
                <c:pt idx="6">
                  <c:v>3578.6400000000003</c:v>
                </c:pt>
                <c:pt idx="7">
                  <c:v>3463.2000000000003</c:v>
                </c:pt>
                <c:pt idx="8">
                  <c:v>3578.6400000000003</c:v>
                </c:pt>
                <c:pt idx="9">
                  <c:v>3578.6400000000003</c:v>
                </c:pt>
                <c:pt idx="10">
                  <c:v>3232.3200000000006</c:v>
                </c:pt>
                <c:pt idx="11">
                  <c:v>3578.6400000000003</c:v>
                </c:pt>
                <c:pt idx="12">
                  <c:v>3463.2000000000003</c:v>
                </c:pt>
                <c:pt idx="13">
                  <c:v>3578.6400000000003</c:v>
                </c:pt>
                <c:pt idx="14">
                  <c:v>3463.2000000000003</c:v>
                </c:pt>
                <c:pt idx="15">
                  <c:v>3578.6400000000003</c:v>
                </c:pt>
                <c:pt idx="16">
                  <c:v>3578.6400000000003</c:v>
                </c:pt>
                <c:pt idx="17">
                  <c:v>3463.2000000000003</c:v>
                </c:pt>
                <c:pt idx="18">
                  <c:v>3578.6400000000003</c:v>
                </c:pt>
                <c:pt idx="19">
                  <c:v>3463.2000000000003</c:v>
                </c:pt>
                <c:pt idx="20">
                  <c:v>3578.6400000000003</c:v>
                </c:pt>
                <c:pt idx="21">
                  <c:v>3578.6400000000003</c:v>
                </c:pt>
                <c:pt idx="22">
                  <c:v>3232.3200000000006</c:v>
                </c:pt>
                <c:pt idx="23">
                  <c:v>3578.6400000000003</c:v>
                </c:pt>
                <c:pt idx="24">
                  <c:v>3463.2000000000003</c:v>
                </c:pt>
                <c:pt idx="25">
                  <c:v>3578.6400000000003</c:v>
                </c:pt>
                <c:pt idx="26">
                  <c:v>3463.2000000000003</c:v>
                </c:pt>
                <c:pt idx="27">
                  <c:v>3578.6400000000003</c:v>
                </c:pt>
                <c:pt idx="28">
                  <c:v>3578.6400000000003</c:v>
                </c:pt>
                <c:pt idx="29">
                  <c:v>3463.2000000000003</c:v>
                </c:pt>
                <c:pt idx="30">
                  <c:v>3578.6400000000003</c:v>
                </c:pt>
                <c:pt idx="31">
                  <c:v>3463.2000000000003</c:v>
                </c:pt>
                <c:pt idx="32">
                  <c:v>3578.6400000000003</c:v>
                </c:pt>
                <c:pt idx="33">
                  <c:v>3578.6400000000003</c:v>
                </c:pt>
                <c:pt idx="34">
                  <c:v>3232.3200000000006</c:v>
                </c:pt>
                <c:pt idx="35">
                  <c:v>3578.6400000000003</c:v>
                </c:pt>
              </c:numCache>
            </c:numRef>
          </c:val>
          <c:smooth val="1"/>
          <c:extLst>
            <c:ext xmlns:c16="http://schemas.microsoft.com/office/drawing/2014/chart" uri="{C3380CC4-5D6E-409C-BE32-E72D297353CC}">
              <c16:uniqueId val="{00000001-DB5A-48B4-8166-9337ACA81C32}"/>
            </c:ext>
          </c:extLst>
        </c:ser>
        <c:dLbls>
          <c:showLegendKey val="0"/>
          <c:showVal val="0"/>
          <c:showCatName val="0"/>
          <c:showSerName val="0"/>
          <c:showPercent val="0"/>
          <c:showBubbleSize val="0"/>
        </c:dLbls>
        <c:smooth val="0"/>
        <c:axId val="478616120"/>
        <c:axId val="478616512"/>
      </c:lineChart>
      <c:catAx>
        <c:axId val="478616120"/>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78616512"/>
        <c:crosses val="autoZero"/>
        <c:auto val="0"/>
        <c:lblAlgn val="ctr"/>
        <c:lblOffset val="100"/>
        <c:noMultiLvlLbl val="0"/>
      </c:catAx>
      <c:valAx>
        <c:axId val="478616512"/>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£'000s per month</a:t>
                </a:r>
              </a:p>
            </c:rich>
          </c:tx>
          <c:layout>
            <c:manualLayout>
              <c:xMode val="edge"/>
              <c:yMode val="edge"/>
              <c:x val="1.7789483462381222E-2"/>
              <c:y val="0.19613878783907146"/>
            </c:manualLayout>
          </c:layout>
          <c:overlay val="0"/>
        </c:title>
        <c:numFmt formatCode="0.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8616120"/>
        <c:crosses val="autoZero"/>
        <c:crossBetween val="midCat"/>
        <c:dispUnits>
          <c:builtInUnit val="thousands"/>
        </c:dispUnits>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pPr>
            <a:r>
              <a:rPr lang="en-US" sz="1400" b="1"/>
              <a:t>Margin over feed (£'000s)</a:t>
            </a:r>
          </a:p>
        </c:rich>
      </c:tx>
      <c:overlay val="0"/>
    </c:title>
    <c:autoTitleDeleted val="0"/>
    <c:plotArea>
      <c:layout>
        <c:manualLayout>
          <c:layoutTarget val="inner"/>
          <c:xMode val="edge"/>
          <c:yMode val="edge"/>
          <c:x val="0.14032334415927539"/>
          <c:y val="0.12066592803356463"/>
          <c:w val="0.82287484520348098"/>
          <c:h val="0.56614337508591561"/>
        </c:manualLayout>
      </c:layout>
      <c:lineChart>
        <c:grouping val="standard"/>
        <c:varyColors val="0"/>
        <c:ser>
          <c:idx val="1"/>
          <c:order val="0"/>
          <c:tx>
            <c:strRef>
              <c:f>'Outputs for chart'!$M$1</c:f>
              <c:strCache>
                <c:ptCount val="1"/>
                <c:pt idx="0">
                  <c:v>Current scenario</c:v>
                </c:pt>
              </c:strCache>
            </c:strRef>
          </c:tx>
          <c:spPr>
            <a:ln>
              <a:solidFill>
                <a:srgbClr val="76B531"/>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chart'!$M$3:$M$38</c:f>
              <c:numCache>
                <c:formatCode>_("£"* #,##0_);_("£"* \(#,##0\);_("£"* "-"_);_(@_)</c:formatCode>
                <c:ptCount val="36"/>
                <c:pt idx="0">
                  <c:v>17241.698630136991</c:v>
                </c:pt>
                <c:pt idx="1">
                  <c:v>17816.42191780822</c:v>
                </c:pt>
                <c:pt idx="2">
                  <c:v>17241.698630136991</c:v>
                </c:pt>
                <c:pt idx="3">
                  <c:v>17816.42191780822</c:v>
                </c:pt>
                <c:pt idx="4">
                  <c:v>17816.42191780822</c:v>
                </c:pt>
                <c:pt idx="5">
                  <c:v>17241.698630136991</c:v>
                </c:pt>
                <c:pt idx="6">
                  <c:v>17816.42191780822</c:v>
                </c:pt>
                <c:pt idx="7">
                  <c:v>17241.698630136991</c:v>
                </c:pt>
                <c:pt idx="8">
                  <c:v>17816.42191780822</c:v>
                </c:pt>
                <c:pt idx="9">
                  <c:v>17816.42191780822</c:v>
                </c:pt>
                <c:pt idx="10">
                  <c:v>16092.252054794528</c:v>
                </c:pt>
                <c:pt idx="11">
                  <c:v>17816.42191780822</c:v>
                </c:pt>
                <c:pt idx="12">
                  <c:v>17241.698630136991</c:v>
                </c:pt>
                <c:pt idx="13">
                  <c:v>17816.42191780822</c:v>
                </c:pt>
                <c:pt idx="14">
                  <c:v>17241.698630136991</c:v>
                </c:pt>
                <c:pt idx="15">
                  <c:v>17816.42191780822</c:v>
                </c:pt>
                <c:pt idx="16">
                  <c:v>17816.42191780822</c:v>
                </c:pt>
                <c:pt idx="17">
                  <c:v>17241.698630136991</c:v>
                </c:pt>
                <c:pt idx="18">
                  <c:v>17816.42191780822</c:v>
                </c:pt>
                <c:pt idx="19">
                  <c:v>17241.698630136991</c:v>
                </c:pt>
                <c:pt idx="20">
                  <c:v>17816.42191780822</c:v>
                </c:pt>
                <c:pt idx="21">
                  <c:v>17816.42191780822</c:v>
                </c:pt>
                <c:pt idx="22">
                  <c:v>16092.252054794528</c:v>
                </c:pt>
                <c:pt idx="23">
                  <c:v>17816.42191780822</c:v>
                </c:pt>
                <c:pt idx="24">
                  <c:v>17241.698630136991</c:v>
                </c:pt>
                <c:pt idx="25">
                  <c:v>17816.42191780822</c:v>
                </c:pt>
                <c:pt idx="26">
                  <c:v>17241.698630136991</c:v>
                </c:pt>
                <c:pt idx="27">
                  <c:v>17816.42191780822</c:v>
                </c:pt>
                <c:pt idx="28">
                  <c:v>17816.42191780822</c:v>
                </c:pt>
                <c:pt idx="29">
                  <c:v>17241.698630136991</c:v>
                </c:pt>
                <c:pt idx="30">
                  <c:v>17816.42191780822</c:v>
                </c:pt>
                <c:pt idx="31">
                  <c:v>17241.698630136991</c:v>
                </c:pt>
                <c:pt idx="32">
                  <c:v>17816.42191780822</c:v>
                </c:pt>
                <c:pt idx="33">
                  <c:v>17816.42191780822</c:v>
                </c:pt>
                <c:pt idx="34">
                  <c:v>16092.252054794528</c:v>
                </c:pt>
                <c:pt idx="35">
                  <c:v>17816.42191780822</c:v>
                </c:pt>
              </c:numCache>
            </c:numRef>
          </c:val>
          <c:smooth val="1"/>
          <c:extLst>
            <c:ext xmlns:c16="http://schemas.microsoft.com/office/drawing/2014/chart" uri="{C3380CC4-5D6E-409C-BE32-E72D297353CC}">
              <c16:uniqueId val="{00000000-895C-4A3A-84C9-18672D5D788F}"/>
            </c:ext>
          </c:extLst>
        </c:ser>
        <c:ser>
          <c:idx val="0"/>
          <c:order val="1"/>
          <c:tx>
            <c:strRef>
              <c:f>'Outputs for chart'!$N$1</c:f>
              <c:strCache>
                <c:ptCount val="1"/>
                <c:pt idx="0">
                  <c:v>Alternative scenario</c:v>
                </c:pt>
              </c:strCache>
            </c:strRef>
          </c:tx>
          <c:spPr>
            <a:ln>
              <a:solidFill>
                <a:srgbClr val="0082CA"/>
              </a:solidFill>
            </a:ln>
          </c:spPr>
          <c:marker>
            <c:symbol val="none"/>
          </c:marker>
          <c:cat>
            <c:numRef>
              <c:f>'Outputs for chart'!$A$3:$A$38</c:f>
              <c:numCache>
                <c:formatCode>mmm\-yy</c:formatCode>
                <c:ptCount val="3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numCache>
            </c:numRef>
          </c:cat>
          <c:val>
            <c:numRef>
              <c:f>'Outputs for chart'!$N$3:$N$38</c:f>
              <c:numCache>
                <c:formatCode>_("£"* #,##0_);_("£"* \(#,##0\);_("£"* "-"_);_(@_)</c:formatCode>
                <c:ptCount val="36"/>
                <c:pt idx="0">
                  <c:v>12422.244950683693</c:v>
                </c:pt>
                <c:pt idx="1">
                  <c:v>12836.31978237315</c:v>
                </c:pt>
                <c:pt idx="2">
                  <c:v>12422.244950683693</c:v>
                </c:pt>
                <c:pt idx="3">
                  <c:v>12836.31978237315</c:v>
                </c:pt>
                <c:pt idx="4">
                  <c:v>12836.31978237315</c:v>
                </c:pt>
                <c:pt idx="5">
                  <c:v>12422.244950683693</c:v>
                </c:pt>
                <c:pt idx="6">
                  <c:v>12836.31978237315</c:v>
                </c:pt>
                <c:pt idx="7">
                  <c:v>12422.244950683693</c:v>
                </c:pt>
                <c:pt idx="8">
                  <c:v>12836.31978237315</c:v>
                </c:pt>
                <c:pt idx="9">
                  <c:v>12836.31978237315</c:v>
                </c:pt>
                <c:pt idx="10">
                  <c:v>11594.095287304779</c:v>
                </c:pt>
                <c:pt idx="11">
                  <c:v>12836.31978237315</c:v>
                </c:pt>
                <c:pt idx="12">
                  <c:v>12422.244950683693</c:v>
                </c:pt>
                <c:pt idx="13">
                  <c:v>12836.31978237315</c:v>
                </c:pt>
                <c:pt idx="14">
                  <c:v>12422.244950683693</c:v>
                </c:pt>
                <c:pt idx="15">
                  <c:v>12836.31978237315</c:v>
                </c:pt>
                <c:pt idx="16">
                  <c:v>12836.31978237315</c:v>
                </c:pt>
                <c:pt idx="17">
                  <c:v>12422.244950683693</c:v>
                </c:pt>
                <c:pt idx="18">
                  <c:v>12836.31978237315</c:v>
                </c:pt>
                <c:pt idx="19">
                  <c:v>12422.244950683693</c:v>
                </c:pt>
                <c:pt idx="20">
                  <c:v>12836.31978237315</c:v>
                </c:pt>
                <c:pt idx="21">
                  <c:v>12836.31978237315</c:v>
                </c:pt>
                <c:pt idx="22">
                  <c:v>11594.095287304779</c:v>
                </c:pt>
                <c:pt idx="23">
                  <c:v>12836.31978237315</c:v>
                </c:pt>
                <c:pt idx="24">
                  <c:v>12422.244950683693</c:v>
                </c:pt>
                <c:pt idx="25">
                  <c:v>12836.31978237315</c:v>
                </c:pt>
                <c:pt idx="26">
                  <c:v>12422.244950683693</c:v>
                </c:pt>
                <c:pt idx="27">
                  <c:v>12836.31978237315</c:v>
                </c:pt>
                <c:pt idx="28">
                  <c:v>12836.31978237315</c:v>
                </c:pt>
                <c:pt idx="29">
                  <c:v>12422.244950683693</c:v>
                </c:pt>
                <c:pt idx="30">
                  <c:v>12836.31978237315</c:v>
                </c:pt>
                <c:pt idx="31">
                  <c:v>12422.244950683693</c:v>
                </c:pt>
                <c:pt idx="32">
                  <c:v>12836.31978237315</c:v>
                </c:pt>
                <c:pt idx="33">
                  <c:v>12836.31978237315</c:v>
                </c:pt>
                <c:pt idx="34">
                  <c:v>11594.095287304779</c:v>
                </c:pt>
                <c:pt idx="35">
                  <c:v>12836.31978237315</c:v>
                </c:pt>
              </c:numCache>
            </c:numRef>
          </c:val>
          <c:smooth val="1"/>
          <c:extLst>
            <c:ext xmlns:c16="http://schemas.microsoft.com/office/drawing/2014/chart" uri="{C3380CC4-5D6E-409C-BE32-E72D297353CC}">
              <c16:uniqueId val="{00000001-895C-4A3A-84C9-18672D5D788F}"/>
            </c:ext>
          </c:extLst>
        </c:ser>
        <c:dLbls>
          <c:showLegendKey val="0"/>
          <c:showVal val="0"/>
          <c:showCatName val="0"/>
          <c:showSerName val="0"/>
          <c:showPercent val="0"/>
          <c:showBubbleSize val="0"/>
        </c:dLbls>
        <c:smooth val="0"/>
        <c:axId val="478617296"/>
        <c:axId val="478617688"/>
      </c:lineChart>
      <c:catAx>
        <c:axId val="478617296"/>
        <c:scaling>
          <c:orientation val="minMax"/>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000" b="1" i="0" u="none" strike="noStrike" baseline="0">
                <a:solidFill>
                  <a:srgbClr val="000000"/>
                </a:solidFill>
                <a:latin typeface="Arial"/>
                <a:ea typeface="Arial"/>
                <a:cs typeface="Arial"/>
              </a:defRPr>
            </a:pPr>
            <a:endParaRPr lang="en-US"/>
          </a:p>
        </c:txPr>
        <c:crossAx val="478617688"/>
        <c:crosses val="autoZero"/>
        <c:auto val="0"/>
        <c:lblAlgn val="ctr"/>
        <c:lblOffset val="100"/>
        <c:noMultiLvlLbl val="0"/>
      </c:catAx>
      <c:valAx>
        <c:axId val="478617688"/>
        <c:scaling>
          <c:orientation val="minMax"/>
        </c:scaling>
        <c:delete val="0"/>
        <c:axPos val="l"/>
        <c:majorGridlines/>
        <c:title>
          <c:tx>
            <c:rich>
              <a:bodyPr/>
              <a:lstStyle/>
              <a:p>
                <a:pPr>
                  <a:defRPr sz="900" b="1" i="0" u="none" strike="noStrike" baseline="0">
                    <a:solidFill>
                      <a:srgbClr val="000000"/>
                    </a:solidFill>
                    <a:latin typeface="Arial"/>
                    <a:ea typeface="Arial"/>
                    <a:cs typeface="Arial"/>
                  </a:defRPr>
                </a:pPr>
                <a:r>
                  <a:rPr lang="en-US" sz="900" b="1"/>
                  <a:t>£'000s per month</a:t>
                </a:r>
              </a:p>
            </c:rich>
          </c:tx>
          <c:layout>
            <c:manualLayout>
              <c:xMode val="edge"/>
              <c:yMode val="edge"/>
              <c:x val="1.7789483462381222E-2"/>
              <c:y val="0.19613878783907146"/>
            </c:manualLayout>
          </c:layout>
          <c:overlay val="0"/>
        </c:title>
        <c:numFmt formatCode="0.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8617296"/>
        <c:crosses val="autoZero"/>
        <c:crossBetween val="midCat"/>
        <c:dispUnits>
          <c:builtInUnit val="thousands"/>
        </c:dispUnits>
      </c:valAx>
      <c:spPr>
        <a:blipFill>
          <a:blip xmlns:r="http://schemas.openxmlformats.org/officeDocument/2006/relationships" r:embed="rId1"/>
          <a:stretch>
            <a:fillRect/>
          </a:stretch>
        </a:blipFill>
        <a:ln w="12700">
          <a:solidFill>
            <a:srgbClr val="808080"/>
          </a:solidFill>
          <a:prstDash val="solid"/>
        </a:ln>
      </c:spPr>
    </c:plotArea>
    <c:legend>
      <c:legendPos val="r"/>
      <c:legendEntry>
        <c:idx val="1"/>
        <c:txPr>
          <a:bodyPr/>
          <a:lstStyle/>
          <a:p>
            <a:pPr>
              <a:defRPr sz="1000" b="1" i="0" u="none" strike="noStrike" baseline="0">
                <a:solidFill>
                  <a:srgbClr val="000000"/>
                </a:solidFill>
                <a:latin typeface="Arial"/>
                <a:ea typeface="Arial"/>
                <a:cs typeface="Arial"/>
              </a:defRPr>
            </a:pPr>
            <a:endParaRPr lang="en-US"/>
          </a:p>
        </c:txPr>
      </c:legendEntry>
      <c:layout>
        <c:manualLayout>
          <c:xMode val="edge"/>
          <c:yMode val="edge"/>
          <c:x val="0.29264082600944213"/>
          <c:y val="0.87371859882840752"/>
          <c:w val="0.65708874523925309"/>
          <c:h val="8.8418344720170322E-2"/>
        </c:manualLayout>
      </c:layout>
      <c:overlay val="0"/>
      <c:spPr>
        <a:solidFill>
          <a:srgbClr val="FFFFFF"/>
        </a:solidFill>
        <a:ln w="3175">
          <a:solidFill>
            <a:srgbClr val="000000"/>
          </a:solidFill>
          <a:prstDash val="solid"/>
        </a:ln>
      </c:spPr>
      <c:txPr>
        <a:bodyPr/>
        <a:lstStyle/>
        <a:p>
          <a:pPr>
            <a:defRPr sz="1000" b="1" i="0" u="none" strike="noStrike" baseline="0">
              <a:solidFill>
                <a:srgbClr val="000000"/>
              </a:solidFill>
              <a:latin typeface="Arial"/>
              <a:ea typeface="Arial"/>
              <a:cs typeface="Arial"/>
            </a:defRPr>
          </a:pPr>
          <a:endParaRPr lang="en-US"/>
        </a:p>
      </c:txPr>
    </c:legend>
    <c:plotVisOnly val="0"/>
    <c:dispBlanksAs val="span"/>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horizontalDpi="360" verticalDpi="36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8.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11</xdr:col>
      <xdr:colOff>561975</xdr:colOff>
      <xdr:row>0</xdr:row>
      <xdr:rowOff>57150</xdr:rowOff>
    </xdr:from>
    <xdr:to>
      <xdr:col>12</xdr:col>
      <xdr:colOff>663401</xdr:colOff>
      <xdr:row>0</xdr:row>
      <xdr:rowOff>508293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048750" y="57150"/>
          <a:ext cx="920576" cy="45114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0.01941</cdr:x>
      <cdr:y>0.87873</cdr:y>
    </cdr:from>
    <cdr:to>
      <cdr:x>0.23781</cdr:x>
      <cdr:y>0.96127</cdr:y>
    </cdr:to>
    <cdr:sp macro="" textlink="">
      <cdr:nvSpPr>
        <cdr:cNvPr id="2" name="TextBox 1"/>
        <cdr:cNvSpPr txBox="1"/>
      </cdr:nvSpPr>
      <cdr:spPr>
        <a:xfrm xmlns:a="http://schemas.openxmlformats.org/drawingml/2006/main">
          <a:off x="93133" y="2929467"/>
          <a:ext cx="1047750" cy="27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drawings/drawing11.xml><?xml version="1.0" encoding="utf-8"?>
<c:userShapes xmlns:c="http://schemas.openxmlformats.org/drawingml/2006/chart">
  <cdr:relSizeAnchor xmlns:cdr="http://schemas.openxmlformats.org/drawingml/2006/chartDrawing">
    <cdr:from>
      <cdr:x>0.01721</cdr:x>
      <cdr:y>0.88825</cdr:y>
    </cdr:from>
    <cdr:to>
      <cdr:x>0.23561</cdr:x>
      <cdr:y>0.97079</cdr:y>
    </cdr:to>
    <cdr:sp macro="" textlink="">
      <cdr:nvSpPr>
        <cdr:cNvPr id="2" name="TextBox 1"/>
        <cdr:cNvSpPr txBox="1"/>
      </cdr:nvSpPr>
      <cdr:spPr>
        <a:xfrm xmlns:a="http://schemas.openxmlformats.org/drawingml/2006/main">
          <a:off x="82550" y="2961216"/>
          <a:ext cx="1047750" cy="27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drawings/drawing12.xml><?xml version="1.0" encoding="utf-8"?>
<c:userShapes xmlns:c="http://schemas.openxmlformats.org/drawingml/2006/chart">
  <cdr:relSizeAnchor xmlns:cdr="http://schemas.openxmlformats.org/drawingml/2006/chartDrawing">
    <cdr:from>
      <cdr:x>0.01721</cdr:x>
      <cdr:y>0.88825</cdr:y>
    </cdr:from>
    <cdr:to>
      <cdr:x>0.23561</cdr:x>
      <cdr:y>0.97079</cdr:y>
    </cdr:to>
    <cdr:sp macro="" textlink="">
      <cdr:nvSpPr>
        <cdr:cNvPr id="2" name="TextBox 1"/>
        <cdr:cNvSpPr txBox="1"/>
      </cdr:nvSpPr>
      <cdr:spPr>
        <a:xfrm xmlns:a="http://schemas.openxmlformats.org/drawingml/2006/main">
          <a:off x="82550" y="2961216"/>
          <a:ext cx="1047750" cy="27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7</xdr:col>
      <xdr:colOff>104775</xdr:colOff>
      <xdr:row>5</xdr:row>
      <xdr:rowOff>122093</xdr:rowOff>
    </xdr:from>
    <xdr:to>
      <xdr:col>11</xdr:col>
      <xdr:colOff>428625</xdr:colOff>
      <xdr:row>16</xdr:row>
      <xdr:rowOff>77932</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106507</xdr:colOff>
      <xdr:row>21</xdr:row>
      <xdr:rowOff>125556</xdr:rowOff>
    </xdr:from>
    <xdr:to>
      <xdr:col>11</xdr:col>
      <xdr:colOff>430357</xdr:colOff>
      <xdr:row>32</xdr:row>
      <xdr:rowOff>73581</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96744</xdr:colOff>
      <xdr:row>0</xdr:row>
      <xdr:rowOff>42430</xdr:rowOff>
    </xdr:from>
    <xdr:to>
      <xdr:col>12</xdr:col>
      <xdr:colOff>191479</xdr:colOff>
      <xdr:row>1</xdr:row>
      <xdr:rowOff>219075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7964394" y="42430"/>
          <a:ext cx="1332985" cy="652895"/>
        </a:xfrm>
        <a:prstGeom prst="rect">
          <a:avLst/>
        </a:prstGeom>
        <a:effectLst>
          <a:glow rad="127000">
            <a:schemeClr val="accent1">
              <a:alpha val="0"/>
            </a:schemeClr>
          </a:glow>
          <a:softEdge rad="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63500</xdr:rowOff>
    </xdr:from>
    <xdr:to>
      <xdr:col>1</xdr:col>
      <xdr:colOff>645409</xdr:colOff>
      <xdr:row>1</xdr:row>
      <xdr:rowOff>70143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31750" y="63500"/>
          <a:ext cx="920576" cy="451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57150</xdr:rowOff>
    </xdr:from>
    <xdr:to>
      <xdr:col>0</xdr:col>
      <xdr:colOff>949151</xdr:colOff>
      <xdr:row>1</xdr:row>
      <xdr:rowOff>117768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28575" y="57150"/>
          <a:ext cx="920576" cy="451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0</xdr:col>
      <xdr:colOff>660443</xdr:colOff>
      <xdr:row>0</xdr:row>
      <xdr:rowOff>409575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9050" y="95250"/>
          <a:ext cx="641393" cy="314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50798</xdr:colOff>
      <xdr:row>1</xdr:row>
      <xdr:rowOff>5288</xdr:rowOff>
    </xdr:from>
    <xdr:to>
      <xdr:col>7</xdr:col>
      <xdr:colOff>551392</xdr:colOff>
      <xdr:row>21</xdr:row>
      <xdr:rowOff>89958</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59267</xdr:colOff>
      <xdr:row>21</xdr:row>
      <xdr:rowOff>92072</xdr:rowOff>
    </xdr:from>
    <xdr:to>
      <xdr:col>7</xdr:col>
      <xdr:colOff>559861</xdr:colOff>
      <xdr:row>42</xdr:row>
      <xdr:rowOff>95250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7</xdr:col>
      <xdr:colOff>555625</xdr:colOff>
      <xdr:row>1</xdr:row>
      <xdr:rowOff>5291</xdr:rowOff>
    </xdr:from>
    <xdr:to>
      <xdr:col>15</xdr:col>
      <xdr:colOff>442385</xdr:colOff>
      <xdr:row>21</xdr:row>
      <xdr:rowOff>89961</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565150</xdr:colOff>
      <xdr:row>21</xdr:row>
      <xdr:rowOff>84666</xdr:rowOff>
    </xdr:from>
    <xdr:to>
      <xdr:col>15</xdr:col>
      <xdr:colOff>456144</xdr:colOff>
      <xdr:row>42</xdr:row>
      <xdr:rowOff>84666</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105833</xdr:colOff>
      <xdr:row>0</xdr:row>
      <xdr:rowOff>84667</xdr:rowOff>
    </xdr:from>
    <xdr:to>
      <xdr:col>15</xdr:col>
      <xdr:colOff>412576</xdr:colOff>
      <xdr:row>0</xdr:row>
      <xdr:rowOff>535810</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5"/>
        <a:stretch>
          <a:fillRect/>
        </a:stretch>
      </xdr:blipFill>
      <xdr:spPr>
        <a:xfrm>
          <a:off x="8699500" y="84667"/>
          <a:ext cx="920576" cy="451143"/>
        </a:xfrm>
        <a:prstGeom prst="rect">
          <a:avLst/>
        </a:prstGeom>
      </xdr:spPr>
    </xdr:pic>
    <xdr:clientData/>
  </xdr:twoCellAnchor>
  <xdr:twoCellAnchor editAs="absolute">
    <xdr:from>
      <xdr:col>0</xdr:col>
      <xdr:colOff>74084</xdr:colOff>
      <xdr:row>42</xdr:row>
      <xdr:rowOff>95250</xdr:rowOff>
    </xdr:from>
    <xdr:to>
      <xdr:col>7</xdr:col>
      <xdr:colOff>574678</xdr:colOff>
      <xdr:row>63</xdr:row>
      <xdr:rowOff>95253</xdr:rowOff>
    </xdr:to>
    <xdr:graphicFrame macro="">
      <xdr:nvGraphicFramePr>
        <xdr:cNvPr id="7" name="Chart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7</xdr:col>
      <xdr:colOff>571501</xdr:colOff>
      <xdr:row>42</xdr:row>
      <xdr:rowOff>95250</xdr:rowOff>
    </xdr:from>
    <xdr:to>
      <xdr:col>15</xdr:col>
      <xdr:colOff>458261</xdr:colOff>
      <xdr:row>63</xdr:row>
      <xdr:rowOff>95253</xdr:rowOff>
    </xdr:to>
    <xdr:graphicFrame macro="">
      <xdr:nvGraphicFramePr>
        <xdr:cNvPr id="9" name="Chart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0.00949</cdr:x>
      <cdr:y>0.88254</cdr:y>
    </cdr:from>
    <cdr:to>
      <cdr:x>0.22788</cdr:x>
      <cdr:y>0.96508</cdr:y>
    </cdr:to>
    <cdr:sp macro="" textlink="">
      <cdr:nvSpPr>
        <cdr:cNvPr id="2" name="TextBox 1"/>
        <cdr:cNvSpPr txBox="1"/>
      </cdr:nvSpPr>
      <cdr:spPr>
        <a:xfrm xmlns:a="http://schemas.openxmlformats.org/drawingml/2006/main">
          <a:off x="45510" y="2942169"/>
          <a:ext cx="1047750" cy="275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drawings/drawing8.xml><?xml version="1.0" encoding="utf-8"?>
<c:userShapes xmlns:c="http://schemas.openxmlformats.org/drawingml/2006/chart">
  <cdr:relSizeAnchor xmlns:cdr="http://schemas.openxmlformats.org/drawingml/2006/chartDrawing">
    <cdr:from>
      <cdr:x>0.01279</cdr:x>
      <cdr:y>0.88508</cdr:y>
    </cdr:from>
    <cdr:to>
      <cdr:x>0.23119</cdr:x>
      <cdr:y>0.96762</cdr:y>
    </cdr:to>
    <cdr:sp macro="" textlink="">
      <cdr:nvSpPr>
        <cdr:cNvPr id="2" name="TextBox 1"/>
        <cdr:cNvSpPr txBox="1"/>
      </cdr:nvSpPr>
      <cdr:spPr>
        <a:xfrm xmlns:a="http://schemas.openxmlformats.org/drawingml/2006/main">
          <a:off x="61383" y="2950634"/>
          <a:ext cx="1047750" cy="27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drawings/drawing9.xml><?xml version="1.0" encoding="utf-8"?>
<c:userShapes xmlns:c="http://schemas.openxmlformats.org/drawingml/2006/chart">
  <cdr:relSizeAnchor xmlns:cdr="http://schemas.openxmlformats.org/drawingml/2006/chartDrawing">
    <cdr:from>
      <cdr:x>0.01721</cdr:x>
      <cdr:y>0.88825</cdr:y>
    </cdr:from>
    <cdr:to>
      <cdr:x>0.23561</cdr:x>
      <cdr:y>0.97079</cdr:y>
    </cdr:to>
    <cdr:sp macro="" textlink="">
      <cdr:nvSpPr>
        <cdr:cNvPr id="2" name="TextBox 1"/>
        <cdr:cNvSpPr txBox="1"/>
      </cdr:nvSpPr>
      <cdr:spPr>
        <a:xfrm xmlns:a="http://schemas.openxmlformats.org/drawingml/2006/main">
          <a:off x="82550" y="2961216"/>
          <a:ext cx="1047750" cy="275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AHDB</a:t>
          </a:r>
        </a:p>
      </cdr:txBody>
    </cdr:sp>
  </cdr:relSizeAnchor>
</c:userShapes>
</file>

<file path=xl/theme/theme1.xml><?xml version="1.0" encoding="utf-8"?>
<a:theme xmlns:a="http://schemas.openxmlformats.org/drawingml/2006/main" name="Office Theme">
  <a:themeElements>
    <a:clrScheme name="AHDB Dairy">
      <a:dk1>
        <a:srgbClr val="000000"/>
      </a:dk1>
      <a:lt1>
        <a:sysClr val="window" lastClr="FFFFFF"/>
      </a:lt1>
      <a:dk2>
        <a:srgbClr val="000000"/>
      </a:dk2>
      <a:lt2>
        <a:srgbClr val="EEECE1"/>
      </a:lt2>
      <a:accent1>
        <a:srgbClr val="FEBC11"/>
      </a:accent1>
      <a:accent2>
        <a:srgbClr val="000000"/>
      </a:accent2>
      <a:accent3>
        <a:srgbClr val="A5A5A5"/>
      </a:accent3>
      <a:accent4>
        <a:srgbClr val="0085CA"/>
      </a:accent4>
      <a:accent5>
        <a:srgbClr val="0054A4"/>
      </a:accent5>
      <a:accent6>
        <a:srgbClr val="94A545"/>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4"/>
  <sheetViews>
    <sheetView workbookViewId="0">
      <pane ySplit="1" topLeftCell="A27" activePane="bottomLeft" state="frozen"/>
      <selection pane="bottomLeft" activeCell="A41" sqref="A41"/>
    </sheetView>
  </sheetViews>
  <sheetFormatPr defaultColWidth="0" defaultRowHeight="12.5" zeroHeight="1" x14ac:dyDescent="0.25"/>
  <cols>
    <col min="1" max="1" width="30.7265625" customWidth="1"/>
    <col min="2" max="13" width="12.26953125" customWidth="1"/>
    <col min="14" max="16384" width="9.1796875" hidden="1"/>
  </cols>
  <sheetData>
    <row r="1" spans="1:13" ht="49.5" customHeight="1" thickBot="1" x14ac:dyDescent="0.3">
      <c r="A1" s="245" t="s">
        <v>93</v>
      </c>
      <c r="B1" s="246"/>
      <c r="C1" s="246"/>
      <c r="D1" s="246"/>
      <c r="E1" s="246"/>
      <c r="F1" s="246"/>
      <c r="G1" s="246"/>
      <c r="H1" s="246"/>
      <c r="I1" s="246"/>
      <c r="J1" s="246"/>
      <c r="K1" s="246"/>
      <c r="L1" s="246"/>
      <c r="M1" s="247"/>
    </row>
    <row r="2" spans="1:13" ht="14" x14ac:dyDescent="0.3">
      <c r="A2" s="131" t="s">
        <v>97</v>
      </c>
      <c r="B2" s="114"/>
      <c r="C2" s="114"/>
      <c r="D2" s="115"/>
      <c r="E2" s="115"/>
      <c r="F2" s="115"/>
      <c r="G2" s="115"/>
      <c r="H2" s="115"/>
      <c r="I2" s="115"/>
      <c r="J2" s="120"/>
      <c r="K2" s="120"/>
      <c r="L2" s="121"/>
      <c r="M2" s="132"/>
    </row>
    <row r="3" spans="1:13" ht="14" x14ac:dyDescent="0.3">
      <c r="A3" s="131" t="s">
        <v>91</v>
      </c>
      <c r="B3" s="114"/>
      <c r="C3" s="114"/>
      <c r="D3" s="115"/>
      <c r="E3" s="115"/>
      <c r="F3" s="115"/>
      <c r="G3" s="115"/>
      <c r="H3" s="115"/>
      <c r="I3" s="115"/>
      <c r="J3" s="120"/>
      <c r="K3" s="120"/>
      <c r="L3" s="121"/>
      <c r="M3" s="132"/>
    </row>
    <row r="4" spans="1:13" ht="14" x14ac:dyDescent="0.3">
      <c r="A4" s="131"/>
      <c r="B4" s="114"/>
      <c r="C4" s="114"/>
      <c r="D4" s="115"/>
      <c r="E4" s="115"/>
      <c r="F4" s="115"/>
      <c r="G4" s="115"/>
      <c r="H4" s="115"/>
      <c r="I4" s="115"/>
      <c r="J4" s="120"/>
      <c r="K4" s="120"/>
      <c r="L4" s="121"/>
      <c r="M4" s="132"/>
    </row>
    <row r="5" spans="1:13" ht="14" x14ac:dyDescent="0.3">
      <c r="A5" s="131" t="s">
        <v>94</v>
      </c>
      <c r="B5" s="114"/>
      <c r="C5" s="114"/>
      <c r="D5" s="115"/>
      <c r="E5" s="115"/>
      <c r="F5" s="115"/>
      <c r="G5" s="115"/>
      <c r="H5" s="115"/>
      <c r="I5" s="115"/>
      <c r="J5" s="120"/>
      <c r="K5" s="120"/>
      <c r="L5" s="121"/>
      <c r="M5" s="132"/>
    </row>
    <row r="6" spans="1:13" ht="14" x14ac:dyDescent="0.3">
      <c r="A6" s="131" t="s">
        <v>125</v>
      </c>
      <c r="B6" s="114"/>
      <c r="C6" s="114"/>
      <c r="D6" s="115"/>
      <c r="E6" s="115"/>
      <c r="F6" s="115"/>
      <c r="G6" s="115"/>
      <c r="H6" s="115"/>
      <c r="I6" s="115"/>
      <c r="J6" s="120"/>
      <c r="K6" s="120"/>
      <c r="L6" s="121"/>
      <c r="M6" s="132"/>
    </row>
    <row r="7" spans="1:13" ht="14" x14ac:dyDescent="0.3">
      <c r="A7" s="131"/>
      <c r="B7" s="114"/>
      <c r="C7" s="114"/>
      <c r="D7" s="115"/>
      <c r="E7" s="115"/>
      <c r="F7" s="115"/>
      <c r="G7" s="114"/>
      <c r="H7" s="115"/>
      <c r="I7" s="115"/>
      <c r="J7" s="120"/>
      <c r="K7" s="120"/>
      <c r="L7" s="121"/>
      <c r="M7" s="132"/>
    </row>
    <row r="8" spans="1:13" ht="14" x14ac:dyDescent="0.3">
      <c r="A8" s="133" t="s">
        <v>98</v>
      </c>
      <c r="B8" s="114"/>
      <c r="C8" s="114"/>
      <c r="D8" s="115"/>
      <c r="E8" s="115"/>
      <c r="F8" s="115"/>
      <c r="G8" s="115"/>
      <c r="H8" s="115"/>
      <c r="I8" s="115"/>
      <c r="J8" s="120"/>
      <c r="K8" s="120"/>
      <c r="L8" s="121"/>
      <c r="M8" s="132"/>
    </row>
    <row r="9" spans="1:13" ht="14" x14ac:dyDescent="0.3">
      <c r="A9" s="131" t="s">
        <v>118</v>
      </c>
      <c r="B9" s="114"/>
      <c r="C9" s="114"/>
      <c r="D9" s="115"/>
      <c r="E9" s="115"/>
      <c r="F9" s="115"/>
      <c r="G9" s="115"/>
      <c r="H9" s="115"/>
      <c r="I9" s="115"/>
      <c r="J9" s="120"/>
      <c r="K9" s="120"/>
      <c r="L9" s="121"/>
      <c r="M9" s="132"/>
    </row>
    <row r="10" spans="1:13" ht="14" x14ac:dyDescent="0.3">
      <c r="A10" s="131" t="s">
        <v>126</v>
      </c>
      <c r="B10" s="114"/>
      <c r="C10" s="114"/>
      <c r="D10" s="115"/>
      <c r="E10" s="115"/>
      <c r="F10" s="115"/>
      <c r="G10" s="115"/>
      <c r="H10" s="115"/>
      <c r="I10" s="115"/>
      <c r="J10" s="120"/>
      <c r="K10" s="120"/>
      <c r="L10" s="121"/>
      <c r="M10" s="132"/>
    </row>
    <row r="11" spans="1:13" ht="14" x14ac:dyDescent="0.3">
      <c r="A11" s="131" t="s">
        <v>99</v>
      </c>
      <c r="B11" s="114"/>
      <c r="C11" s="114"/>
      <c r="D11" s="115"/>
      <c r="E11" s="115"/>
      <c r="F11" s="115"/>
      <c r="G11" s="115"/>
      <c r="H11" s="115"/>
      <c r="I11" s="115"/>
      <c r="J11" s="120"/>
      <c r="K11" s="120"/>
      <c r="L11" s="121"/>
      <c r="M11" s="132"/>
    </row>
    <row r="12" spans="1:13" ht="14" x14ac:dyDescent="0.3">
      <c r="A12" s="131" t="s">
        <v>106</v>
      </c>
      <c r="B12" s="114"/>
      <c r="C12" s="114"/>
      <c r="D12" s="115"/>
      <c r="E12" s="115"/>
      <c r="F12" s="115"/>
      <c r="G12" s="115"/>
      <c r="H12" s="115"/>
      <c r="I12" s="115"/>
      <c r="J12" s="120"/>
      <c r="K12" s="120"/>
      <c r="L12" s="121"/>
      <c r="M12" s="132"/>
    </row>
    <row r="13" spans="1:13" ht="14" x14ac:dyDescent="0.3">
      <c r="A13" s="131" t="s">
        <v>127</v>
      </c>
      <c r="B13" s="114"/>
      <c r="C13" s="114"/>
      <c r="D13" s="115"/>
      <c r="E13" s="115"/>
      <c r="F13" s="115"/>
      <c r="G13" s="115"/>
      <c r="H13" s="115"/>
      <c r="I13" s="115"/>
      <c r="J13" s="120"/>
      <c r="K13" s="120"/>
      <c r="L13" s="121"/>
      <c r="M13" s="132"/>
    </row>
    <row r="14" spans="1:13" ht="14" x14ac:dyDescent="0.3">
      <c r="A14" s="131" t="s">
        <v>95</v>
      </c>
      <c r="B14" s="114"/>
      <c r="C14" s="114"/>
      <c r="D14" s="115"/>
      <c r="E14" s="115"/>
      <c r="F14" s="115"/>
      <c r="G14" s="115"/>
      <c r="H14" s="115"/>
      <c r="I14" s="115"/>
      <c r="J14" s="120"/>
      <c r="K14" s="120"/>
      <c r="L14" s="121"/>
      <c r="M14" s="132"/>
    </row>
    <row r="15" spans="1:13" ht="14" x14ac:dyDescent="0.3">
      <c r="A15" s="131" t="s">
        <v>96</v>
      </c>
      <c r="B15" s="114"/>
      <c r="C15" s="114"/>
      <c r="D15" s="115"/>
      <c r="E15" s="115"/>
      <c r="F15" s="115"/>
      <c r="G15" s="115"/>
      <c r="H15" s="115"/>
      <c r="I15" s="115"/>
      <c r="J15" s="120"/>
      <c r="K15" s="120"/>
      <c r="L15" s="121"/>
      <c r="M15" s="132"/>
    </row>
    <row r="16" spans="1:13" ht="14" x14ac:dyDescent="0.3">
      <c r="A16" s="131" t="s">
        <v>128</v>
      </c>
      <c r="B16" s="114"/>
      <c r="C16" s="114"/>
      <c r="D16" s="115"/>
      <c r="E16" s="115"/>
      <c r="F16" s="115"/>
      <c r="G16" s="115"/>
      <c r="H16" s="115"/>
      <c r="I16" s="115"/>
      <c r="J16" s="120"/>
      <c r="K16" s="120"/>
      <c r="L16" s="121"/>
      <c r="M16" s="132"/>
    </row>
    <row r="17" spans="1:13" ht="14" x14ac:dyDescent="0.3">
      <c r="A17" s="131" t="s">
        <v>147</v>
      </c>
      <c r="B17" s="114"/>
      <c r="C17" s="114"/>
      <c r="D17" s="115"/>
      <c r="E17" s="115"/>
      <c r="F17" s="115"/>
      <c r="G17" s="115"/>
      <c r="H17" s="115"/>
      <c r="I17" s="115"/>
      <c r="J17" s="120"/>
      <c r="K17" s="120"/>
      <c r="L17" s="121"/>
      <c r="M17" s="132"/>
    </row>
    <row r="18" spans="1:13" ht="14" x14ac:dyDescent="0.3">
      <c r="A18" s="131" t="s">
        <v>148</v>
      </c>
      <c r="B18" s="114"/>
      <c r="C18" s="114"/>
      <c r="D18" s="115"/>
      <c r="E18" s="115"/>
      <c r="F18" s="115"/>
      <c r="G18" s="115"/>
      <c r="H18" s="115"/>
      <c r="I18" s="115"/>
      <c r="J18" s="120"/>
      <c r="K18" s="120"/>
      <c r="L18" s="121"/>
      <c r="M18" s="132"/>
    </row>
    <row r="19" spans="1:13" ht="14" x14ac:dyDescent="0.3">
      <c r="A19" s="131" t="s">
        <v>116</v>
      </c>
      <c r="B19" s="114"/>
      <c r="C19" s="114"/>
      <c r="D19" s="115"/>
      <c r="E19" s="115"/>
      <c r="F19" s="115"/>
      <c r="G19" s="115"/>
      <c r="H19" s="115"/>
      <c r="I19" s="115"/>
      <c r="J19" s="120"/>
      <c r="K19" s="120"/>
      <c r="L19" s="121"/>
      <c r="M19" s="132"/>
    </row>
    <row r="20" spans="1:13" ht="14" x14ac:dyDescent="0.3">
      <c r="A20" s="131" t="s">
        <v>117</v>
      </c>
      <c r="B20" s="114"/>
      <c r="C20" s="114"/>
      <c r="D20" s="115"/>
      <c r="E20" s="115"/>
      <c r="F20" s="115"/>
      <c r="G20" s="115"/>
      <c r="H20" s="115"/>
      <c r="I20" s="115"/>
      <c r="J20" s="120"/>
      <c r="K20" s="120"/>
      <c r="L20" s="121"/>
      <c r="M20" s="132"/>
    </row>
    <row r="21" spans="1:13" ht="14" x14ac:dyDescent="0.3">
      <c r="A21" s="131" t="s">
        <v>146</v>
      </c>
      <c r="B21" s="114"/>
      <c r="C21" s="114"/>
      <c r="D21" s="115"/>
      <c r="E21" s="115"/>
      <c r="F21" s="115"/>
      <c r="G21" s="115"/>
      <c r="H21" s="115"/>
      <c r="I21" s="115"/>
      <c r="J21" s="120"/>
      <c r="K21" s="120"/>
      <c r="L21" s="121"/>
      <c r="M21" s="132"/>
    </row>
    <row r="22" spans="1:13" ht="14" x14ac:dyDescent="0.3">
      <c r="A22" s="131" t="s">
        <v>129</v>
      </c>
      <c r="B22" s="114"/>
      <c r="C22" s="114"/>
      <c r="D22" s="115"/>
      <c r="E22" s="115"/>
      <c r="F22" s="115"/>
      <c r="G22" s="115"/>
      <c r="H22" s="115"/>
      <c r="I22" s="115"/>
      <c r="J22" s="120"/>
      <c r="K22" s="120"/>
      <c r="L22" s="121"/>
      <c r="M22" s="132"/>
    </row>
    <row r="23" spans="1:13" ht="14" x14ac:dyDescent="0.3">
      <c r="A23" s="131"/>
      <c r="B23" s="114"/>
      <c r="C23" s="114"/>
      <c r="D23" s="115"/>
      <c r="E23" s="115"/>
      <c r="F23" s="115"/>
      <c r="G23" s="115"/>
      <c r="H23" s="115"/>
      <c r="I23" s="115"/>
      <c r="J23" s="120"/>
      <c r="K23" s="120"/>
      <c r="L23" s="121"/>
      <c r="M23" s="132"/>
    </row>
    <row r="24" spans="1:13" ht="14" x14ac:dyDescent="0.3">
      <c r="A24" s="131" t="s">
        <v>100</v>
      </c>
      <c r="B24" s="114"/>
      <c r="C24" s="114"/>
      <c r="D24" s="115"/>
      <c r="E24" s="115"/>
      <c r="F24" s="115"/>
      <c r="G24" s="115"/>
      <c r="H24" s="115"/>
      <c r="I24" s="115"/>
      <c r="J24" s="120"/>
      <c r="K24" s="120"/>
      <c r="L24" s="121"/>
      <c r="M24" s="132"/>
    </row>
    <row r="25" spans="1:13" ht="14" x14ac:dyDescent="0.3">
      <c r="A25" s="131"/>
      <c r="B25" s="114"/>
      <c r="C25" s="114"/>
      <c r="D25" s="115"/>
      <c r="E25" s="115"/>
      <c r="F25" s="115"/>
      <c r="G25" s="115"/>
      <c r="H25" s="115"/>
      <c r="I25" s="115"/>
      <c r="J25" s="120"/>
      <c r="K25" s="120"/>
      <c r="L25" s="121"/>
      <c r="M25" s="132"/>
    </row>
    <row r="26" spans="1:13" ht="14" x14ac:dyDescent="0.3">
      <c r="A26" s="133" t="s">
        <v>101</v>
      </c>
      <c r="B26" s="114"/>
      <c r="C26" s="114"/>
      <c r="D26" s="115"/>
      <c r="E26" s="115"/>
      <c r="F26" s="115"/>
      <c r="G26" s="115"/>
      <c r="H26" s="115"/>
      <c r="I26" s="115"/>
      <c r="J26" s="120"/>
      <c r="K26" s="120"/>
      <c r="L26" s="121"/>
      <c r="M26" s="132"/>
    </row>
    <row r="27" spans="1:13" ht="14" x14ac:dyDescent="0.3">
      <c r="A27" s="131" t="s">
        <v>102</v>
      </c>
      <c r="B27" s="114"/>
      <c r="C27" s="114"/>
      <c r="D27" s="115"/>
      <c r="E27" s="115"/>
      <c r="F27" s="115"/>
      <c r="G27" s="115"/>
      <c r="H27" s="115"/>
      <c r="I27" s="115"/>
      <c r="J27" s="120"/>
      <c r="K27" s="120"/>
      <c r="L27" s="121"/>
      <c r="M27" s="132"/>
    </row>
    <row r="28" spans="1:13" ht="14" x14ac:dyDescent="0.3">
      <c r="A28" s="131" t="s">
        <v>103</v>
      </c>
      <c r="B28" s="114"/>
      <c r="C28" s="114"/>
      <c r="D28" s="115"/>
      <c r="E28" s="115"/>
      <c r="F28" s="115"/>
      <c r="G28" s="115"/>
      <c r="H28" s="115"/>
      <c r="I28" s="115"/>
      <c r="J28" s="120"/>
      <c r="K28" s="120"/>
      <c r="L28" s="121"/>
      <c r="M28" s="132"/>
    </row>
    <row r="29" spans="1:13" ht="14" x14ac:dyDescent="0.3">
      <c r="A29" s="131" t="s">
        <v>125</v>
      </c>
      <c r="B29" s="114"/>
      <c r="C29" s="114"/>
      <c r="D29" s="115"/>
      <c r="E29" s="115"/>
      <c r="F29" s="115"/>
      <c r="G29" s="115"/>
      <c r="H29" s="115"/>
      <c r="I29" s="115"/>
      <c r="J29" s="120"/>
      <c r="K29" s="120"/>
      <c r="L29" s="121"/>
      <c r="M29" s="132"/>
    </row>
    <row r="30" spans="1:13" ht="14" x14ac:dyDescent="0.3">
      <c r="A30" s="131" t="s">
        <v>144</v>
      </c>
      <c r="B30" s="114"/>
      <c r="C30" s="114"/>
      <c r="D30" s="115"/>
      <c r="E30" s="115"/>
      <c r="F30" s="115"/>
      <c r="G30" s="115"/>
      <c r="H30" s="115"/>
      <c r="I30" s="115"/>
      <c r="J30" s="120"/>
      <c r="K30" s="120"/>
      <c r="L30" s="121"/>
      <c r="M30" s="132"/>
    </row>
    <row r="31" spans="1:13" ht="14" x14ac:dyDescent="0.3">
      <c r="A31" s="131"/>
      <c r="B31" s="114"/>
      <c r="C31" s="114"/>
      <c r="D31" s="115"/>
      <c r="E31" s="115"/>
      <c r="F31" s="115"/>
      <c r="G31" s="115"/>
      <c r="H31" s="115"/>
      <c r="I31" s="115"/>
      <c r="J31" s="120"/>
      <c r="K31" s="120"/>
      <c r="L31" s="121"/>
      <c r="M31" s="132"/>
    </row>
    <row r="32" spans="1:13" ht="14" x14ac:dyDescent="0.3">
      <c r="A32" s="133" t="s">
        <v>156</v>
      </c>
      <c r="B32" s="114"/>
      <c r="C32" s="114"/>
      <c r="D32" s="115"/>
      <c r="E32" s="115"/>
      <c r="F32" s="115"/>
      <c r="G32" s="115"/>
      <c r="H32" s="115"/>
      <c r="I32" s="115"/>
      <c r="J32" s="120"/>
      <c r="K32" s="120"/>
      <c r="L32" s="121"/>
      <c r="M32" s="132"/>
    </row>
    <row r="33" spans="1:13" ht="14" x14ac:dyDescent="0.3">
      <c r="A33" s="131" t="s">
        <v>157</v>
      </c>
      <c r="B33" s="114"/>
      <c r="C33" s="114"/>
      <c r="D33" s="115"/>
      <c r="E33" s="115"/>
      <c r="F33" s="115"/>
      <c r="G33" s="115"/>
      <c r="H33" s="115"/>
      <c r="I33" s="115"/>
      <c r="J33" s="120"/>
      <c r="K33" s="120"/>
      <c r="L33" s="121"/>
      <c r="M33" s="132"/>
    </row>
    <row r="34" spans="1:13" ht="14" x14ac:dyDescent="0.3">
      <c r="A34" s="131" t="s">
        <v>158</v>
      </c>
      <c r="B34" s="114"/>
      <c r="C34" s="114"/>
      <c r="D34" s="115"/>
      <c r="E34" s="115"/>
      <c r="F34" s="115"/>
      <c r="G34" s="115"/>
      <c r="H34" s="115"/>
      <c r="I34" s="115"/>
      <c r="J34" s="120"/>
      <c r="K34" s="120"/>
      <c r="L34" s="121"/>
      <c r="M34" s="132"/>
    </row>
    <row r="35" spans="1:13" ht="14" x14ac:dyDescent="0.3">
      <c r="A35" s="131" t="s">
        <v>159</v>
      </c>
      <c r="B35" s="114"/>
      <c r="C35" s="114"/>
      <c r="D35" s="115"/>
      <c r="E35" s="115"/>
      <c r="F35" s="115"/>
      <c r="G35" s="115"/>
      <c r="H35" s="115"/>
      <c r="I35" s="115"/>
      <c r="J35" s="120"/>
      <c r="K35" s="120"/>
      <c r="L35" s="121"/>
      <c r="M35" s="132"/>
    </row>
    <row r="36" spans="1:13" ht="14" x14ac:dyDescent="0.3">
      <c r="A36" s="131" t="s">
        <v>155</v>
      </c>
      <c r="B36" s="114"/>
      <c r="C36" s="114"/>
      <c r="D36" s="115"/>
      <c r="E36" s="115"/>
      <c r="F36" s="115"/>
      <c r="G36" s="115"/>
      <c r="H36" s="115"/>
      <c r="I36" s="115"/>
      <c r="J36" s="120"/>
      <c r="K36" s="120"/>
      <c r="L36" s="121"/>
      <c r="M36" s="132"/>
    </row>
    <row r="37" spans="1:13" ht="14" x14ac:dyDescent="0.3">
      <c r="A37" s="131"/>
      <c r="B37" s="114"/>
      <c r="C37" s="114"/>
      <c r="D37" s="115"/>
      <c r="E37" s="115"/>
      <c r="F37" s="115"/>
      <c r="G37" s="115"/>
      <c r="H37" s="115"/>
      <c r="I37" s="115"/>
      <c r="J37" s="120"/>
      <c r="K37" s="120"/>
      <c r="L37" s="121"/>
      <c r="M37" s="132"/>
    </row>
    <row r="38" spans="1:13" ht="14" x14ac:dyDescent="0.3">
      <c r="A38" s="133" t="s">
        <v>104</v>
      </c>
      <c r="B38" s="114"/>
      <c r="C38" s="114"/>
      <c r="D38" s="115"/>
      <c r="E38" s="115"/>
      <c r="F38" s="115"/>
      <c r="G38" s="115"/>
      <c r="H38" s="115"/>
      <c r="I38" s="115"/>
      <c r="J38" s="120"/>
      <c r="K38" s="120"/>
      <c r="L38" s="121"/>
      <c r="M38" s="132"/>
    </row>
    <row r="39" spans="1:13" ht="14" x14ac:dyDescent="0.3">
      <c r="A39" s="131" t="s">
        <v>119</v>
      </c>
      <c r="B39" s="114"/>
      <c r="C39" s="114"/>
      <c r="D39" s="115"/>
      <c r="E39" s="115"/>
      <c r="F39" s="115"/>
      <c r="G39" s="115"/>
      <c r="H39" s="115"/>
      <c r="I39" s="115"/>
      <c r="J39" s="120"/>
      <c r="K39" s="120"/>
      <c r="L39" s="121"/>
      <c r="M39" s="132"/>
    </row>
    <row r="40" spans="1:13" ht="14" x14ac:dyDescent="0.3">
      <c r="A40" s="131" t="s">
        <v>145</v>
      </c>
      <c r="B40" s="114"/>
      <c r="C40" s="114"/>
      <c r="D40" s="115"/>
      <c r="E40" s="115"/>
      <c r="F40" s="115"/>
      <c r="G40" s="115"/>
      <c r="H40" s="115"/>
      <c r="I40" s="115"/>
      <c r="J40" s="120"/>
      <c r="K40" s="120"/>
      <c r="L40" s="121"/>
      <c r="M40" s="132"/>
    </row>
    <row r="41" spans="1:13" ht="14" x14ac:dyDescent="0.3">
      <c r="A41" s="131"/>
      <c r="B41" s="114"/>
      <c r="C41" s="114"/>
      <c r="D41" s="115"/>
      <c r="E41" s="115"/>
      <c r="F41" s="115"/>
      <c r="G41" s="115"/>
      <c r="H41" s="115"/>
      <c r="I41" s="115"/>
      <c r="J41" s="120"/>
      <c r="K41" s="120"/>
      <c r="L41" s="121"/>
      <c r="M41" s="132"/>
    </row>
    <row r="42" spans="1:13" ht="14" x14ac:dyDescent="0.3">
      <c r="A42" s="133" t="s">
        <v>161</v>
      </c>
      <c r="B42" s="114"/>
      <c r="C42" s="115"/>
      <c r="D42" s="115"/>
      <c r="E42" s="115"/>
      <c r="F42" s="115"/>
      <c r="G42" s="115"/>
      <c r="H42" s="115"/>
      <c r="I42" s="115"/>
      <c r="J42" s="120"/>
      <c r="K42" s="120"/>
      <c r="L42" s="121"/>
      <c r="M42" s="132"/>
    </row>
    <row r="43" spans="1:13" ht="14" x14ac:dyDescent="0.3">
      <c r="A43" s="115" t="s">
        <v>164</v>
      </c>
      <c r="B43" s="114"/>
      <c r="C43" s="115"/>
      <c r="D43" s="115"/>
      <c r="E43" s="115"/>
      <c r="F43" s="115"/>
      <c r="G43" s="115"/>
      <c r="H43" s="115"/>
      <c r="I43" s="115"/>
      <c r="J43" s="120"/>
      <c r="K43" s="120"/>
      <c r="L43" s="121"/>
      <c r="M43" s="132"/>
    </row>
    <row r="44" spans="1:13" ht="14" x14ac:dyDescent="0.3">
      <c r="A44" s="115"/>
      <c r="B44" s="114"/>
      <c r="C44" s="115"/>
      <c r="D44" s="115"/>
      <c r="E44" s="115"/>
      <c r="F44" s="115"/>
      <c r="G44" s="115"/>
      <c r="H44" s="115"/>
      <c r="I44" s="115"/>
      <c r="J44" s="120"/>
      <c r="K44" s="120"/>
      <c r="L44" s="121"/>
      <c r="M44" s="132"/>
    </row>
    <row r="45" spans="1:13" ht="14" x14ac:dyDescent="0.3">
      <c r="A45" s="306" t="s">
        <v>162</v>
      </c>
      <c r="B45" s="307" t="s">
        <v>163</v>
      </c>
      <c r="C45" s="308"/>
      <c r="D45" s="308"/>
      <c r="E45" s="308"/>
      <c r="F45" s="308"/>
      <c r="G45" s="309"/>
      <c r="H45" s="115"/>
      <c r="I45" s="115"/>
      <c r="J45" s="120"/>
      <c r="K45" s="120"/>
      <c r="L45" s="121"/>
      <c r="M45" s="132"/>
    </row>
    <row r="46" spans="1:13" ht="14" x14ac:dyDescent="0.3">
      <c r="A46" s="310" t="s">
        <v>19</v>
      </c>
      <c r="B46" s="314" t="s">
        <v>20</v>
      </c>
      <c r="C46" s="315"/>
      <c r="D46" s="315"/>
      <c r="E46" s="315"/>
      <c r="F46" s="315"/>
      <c r="G46" s="316"/>
      <c r="H46" s="115"/>
      <c r="I46" s="115"/>
      <c r="J46" s="120"/>
      <c r="K46" s="120"/>
      <c r="L46" s="121"/>
      <c r="M46" s="132"/>
    </row>
    <row r="47" spans="1:13" ht="14" x14ac:dyDescent="0.3">
      <c r="A47" s="311" t="s">
        <v>6</v>
      </c>
      <c r="B47" s="314" t="s">
        <v>18</v>
      </c>
      <c r="C47" s="315"/>
      <c r="D47" s="315"/>
      <c r="E47" s="315"/>
      <c r="F47" s="315"/>
      <c r="G47" s="316"/>
      <c r="H47" s="115"/>
      <c r="I47" s="115"/>
      <c r="J47" s="120"/>
      <c r="K47" s="120"/>
      <c r="L47" s="121"/>
      <c r="M47" s="132"/>
    </row>
    <row r="48" spans="1:13" ht="14" x14ac:dyDescent="0.3">
      <c r="A48" s="310" t="s">
        <v>7</v>
      </c>
      <c r="B48" s="314" t="s">
        <v>17</v>
      </c>
      <c r="C48" s="315"/>
      <c r="D48" s="315"/>
      <c r="E48" s="315"/>
      <c r="F48" s="315"/>
      <c r="G48" s="316"/>
      <c r="H48" s="115"/>
      <c r="I48" s="115"/>
      <c r="J48" s="120"/>
      <c r="K48" s="120"/>
      <c r="L48" s="121"/>
      <c r="M48" s="132"/>
    </row>
    <row r="49" spans="1:13" ht="14" x14ac:dyDescent="0.3">
      <c r="A49" s="312" t="s">
        <v>15</v>
      </c>
      <c r="B49" s="314" t="s">
        <v>16</v>
      </c>
      <c r="C49" s="315"/>
      <c r="D49" s="315"/>
      <c r="E49" s="315"/>
      <c r="F49" s="315"/>
      <c r="G49" s="316"/>
      <c r="H49" s="115"/>
      <c r="I49" s="115"/>
      <c r="J49" s="120"/>
      <c r="K49" s="120"/>
      <c r="L49" s="121"/>
      <c r="M49" s="132"/>
    </row>
    <row r="50" spans="1:13" ht="14" x14ac:dyDescent="0.3">
      <c r="A50" s="310" t="s">
        <v>13</v>
      </c>
      <c r="B50" s="314" t="s">
        <v>14</v>
      </c>
      <c r="C50" s="315"/>
      <c r="D50" s="315"/>
      <c r="E50" s="315"/>
      <c r="F50" s="315"/>
      <c r="G50" s="316"/>
      <c r="H50" s="115"/>
      <c r="I50" s="115"/>
      <c r="J50" s="120"/>
      <c r="K50" s="120"/>
      <c r="L50" s="121"/>
      <c r="M50" s="132"/>
    </row>
    <row r="51" spans="1:13" ht="14" x14ac:dyDescent="0.3">
      <c r="A51" s="311" t="s">
        <v>11</v>
      </c>
      <c r="B51" s="314" t="s">
        <v>12</v>
      </c>
      <c r="C51" s="315"/>
      <c r="D51" s="315"/>
      <c r="E51" s="315"/>
      <c r="F51" s="315"/>
      <c r="G51" s="316"/>
      <c r="H51" s="115"/>
      <c r="I51" s="115"/>
      <c r="J51" s="120"/>
      <c r="K51" s="120"/>
      <c r="L51" s="121"/>
      <c r="M51" s="132"/>
    </row>
    <row r="52" spans="1:13" ht="14" x14ac:dyDescent="0.3">
      <c r="A52" s="310" t="s">
        <v>134</v>
      </c>
      <c r="B52" s="314" t="s">
        <v>136</v>
      </c>
      <c r="C52" s="315"/>
      <c r="D52" s="315"/>
      <c r="E52" s="315"/>
      <c r="F52" s="315"/>
      <c r="G52" s="316"/>
      <c r="H52" s="115"/>
      <c r="I52" s="115"/>
      <c r="J52" s="120"/>
      <c r="K52" s="120"/>
      <c r="L52" s="121"/>
      <c r="M52" s="132"/>
    </row>
    <row r="53" spans="1:13" ht="14" x14ac:dyDescent="0.3">
      <c r="A53" s="313" t="s">
        <v>135</v>
      </c>
      <c r="B53" s="314" t="s">
        <v>141</v>
      </c>
      <c r="C53" s="315"/>
      <c r="D53" s="315"/>
      <c r="E53" s="315"/>
      <c r="F53" s="315"/>
      <c r="G53" s="316"/>
      <c r="H53" s="115"/>
      <c r="I53" s="115"/>
      <c r="J53" s="120"/>
      <c r="K53" s="120"/>
      <c r="L53" s="121"/>
      <c r="M53" s="132"/>
    </row>
    <row r="54" spans="1:13" ht="14.5" thickBot="1" x14ac:dyDescent="0.35">
      <c r="A54" s="134"/>
      <c r="B54" s="135"/>
      <c r="C54" s="135"/>
      <c r="D54" s="136"/>
      <c r="E54" s="136"/>
      <c r="F54" s="136"/>
      <c r="G54" s="136"/>
      <c r="H54" s="136"/>
      <c r="I54" s="136"/>
      <c r="J54" s="137"/>
      <c r="K54" s="137"/>
      <c r="L54" s="138"/>
      <c r="M54" s="139"/>
    </row>
  </sheetData>
  <mergeCells count="8">
    <mergeCell ref="B52:G52"/>
    <mergeCell ref="B53:G53"/>
    <mergeCell ref="B46:G46"/>
    <mergeCell ref="B47:G47"/>
    <mergeCell ref="B48:G48"/>
    <mergeCell ref="B49:G49"/>
    <mergeCell ref="B50:G50"/>
    <mergeCell ref="B51:G51"/>
  </mergeCells>
  <pageMargins left="0.7" right="0.7" top="0.75" bottom="0.75" header="0.3" footer="0.3"/>
  <pageSetup paperSize="9"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AA45"/>
  <sheetViews>
    <sheetView topLeftCell="I1" workbookViewId="0">
      <selection activeCell="Y22" sqref="Y22"/>
    </sheetView>
  </sheetViews>
  <sheetFormatPr defaultRowHeight="12.5" x14ac:dyDescent="0.25"/>
  <cols>
    <col min="18" max="19" width="9.54296875" bestFit="1" customWidth="1"/>
  </cols>
  <sheetData>
    <row r="1" spans="1:27" x14ac:dyDescent="0.25">
      <c r="B1" t="s">
        <v>0</v>
      </c>
      <c r="S1" t="s">
        <v>61</v>
      </c>
      <c r="U1" t="s">
        <v>143</v>
      </c>
      <c r="X1" t="s">
        <v>62</v>
      </c>
      <c r="Z1" t="s">
        <v>143</v>
      </c>
    </row>
    <row r="2" spans="1:27" x14ac:dyDescent="0.25">
      <c r="A2" t="s">
        <v>1</v>
      </c>
      <c r="B2" t="s">
        <v>19</v>
      </c>
      <c r="D2" t="s">
        <v>6</v>
      </c>
      <c r="F2" t="s">
        <v>7</v>
      </c>
      <c r="H2" t="s">
        <v>47</v>
      </c>
      <c r="J2" t="s">
        <v>9</v>
      </c>
      <c r="L2" t="s">
        <v>46</v>
      </c>
      <c r="N2" t="s">
        <v>134</v>
      </c>
      <c r="P2" t="s">
        <v>135</v>
      </c>
    </row>
    <row r="3" spans="1:27" x14ac:dyDescent="0.25">
      <c r="A3" t="s">
        <v>2</v>
      </c>
      <c r="B3" t="s">
        <v>4</v>
      </c>
      <c r="C3" t="s">
        <v>5</v>
      </c>
      <c r="D3" t="s">
        <v>4</v>
      </c>
      <c r="E3" t="s">
        <v>5</v>
      </c>
      <c r="F3" t="s">
        <v>4</v>
      </c>
      <c r="G3" t="s">
        <v>5</v>
      </c>
      <c r="H3" t="s">
        <v>4</v>
      </c>
      <c r="I3" t="s">
        <v>5</v>
      </c>
      <c r="J3" t="s">
        <v>4</v>
      </c>
      <c r="K3" t="s">
        <v>5</v>
      </c>
      <c r="L3" t="s">
        <v>4</v>
      </c>
      <c r="M3" t="s">
        <v>5</v>
      </c>
      <c r="N3" t="s">
        <v>4</v>
      </c>
      <c r="O3" t="s">
        <v>5</v>
      </c>
      <c r="P3" t="s">
        <v>4</v>
      </c>
      <c r="Q3" t="s">
        <v>5</v>
      </c>
      <c r="R3" t="s">
        <v>24</v>
      </c>
      <c r="S3" t="s">
        <v>4</v>
      </c>
      <c r="T3" t="s">
        <v>5</v>
      </c>
      <c r="U3" t="s">
        <v>4</v>
      </c>
      <c r="V3" t="s">
        <v>5</v>
      </c>
      <c r="X3" t="s">
        <v>4</v>
      </c>
      <c r="Y3" t="s">
        <v>5</v>
      </c>
      <c r="Z3" t="s">
        <v>4</v>
      </c>
      <c r="AA3" t="s">
        <v>5</v>
      </c>
    </row>
    <row r="4" spans="1:27" x14ac:dyDescent="0.25">
      <c r="A4">
        <v>1</v>
      </c>
      <c r="B4" s="5">
        <f>B29</f>
        <v>0.85</v>
      </c>
      <c r="C4" s="5">
        <f t="shared" ref="C4:Q4" si="0">C29</f>
        <v>1</v>
      </c>
      <c r="D4" s="5">
        <f t="shared" si="0"/>
        <v>0.85</v>
      </c>
      <c r="E4" s="5">
        <f t="shared" si="0"/>
        <v>1</v>
      </c>
      <c r="F4" s="5">
        <f t="shared" si="0"/>
        <v>0.85</v>
      </c>
      <c r="G4" s="5">
        <f t="shared" si="0"/>
        <v>1</v>
      </c>
      <c r="H4" s="5">
        <f t="shared" si="0"/>
        <v>0.85</v>
      </c>
      <c r="I4" s="5">
        <f t="shared" si="0"/>
        <v>1</v>
      </c>
      <c r="J4" s="5">
        <f t="shared" si="0"/>
        <v>0.85</v>
      </c>
      <c r="K4" s="5">
        <f t="shared" si="0"/>
        <v>1</v>
      </c>
      <c r="L4" s="5">
        <f t="shared" si="0"/>
        <v>0.85</v>
      </c>
      <c r="M4" s="5">
        <f t="shared" si="0"/>
        <v>1</v>
      </c>
      <c r="N4" s="5">
        <f t="shared" si="0"/>
        <v>1.119</v>
      </c>
      <c r="O4" s="5">
        <f t="shared" si="0"/>
        <v>1.2470000000000001</v>
      </c>
      <c r="P4" s="5">
        <f t="shared" si="0"/>
        <v>1.0085325292206533</v>
      </c>
      <c r="Q4" s="5">
        <f t="shared" si="0"/>
        <v>1.1461270712055274</v>
      </c>
      <c r="R4" s="3">
        <f>A4*30</f>
        <v>30</v>
      </c>
      <c r="S4" s="4">
        <f>B4*$B$23+D4*$D$23+F4*$F$23+H4*$H$23+J4*$J$23+L4*$L$23+N4*$N$23+P4*$P$23</f>
        <v>15.772526333024068</v>
      </c>
      <c r="T4" s="4">
        <f>C4*$C$23+E4*$E$23+G4*$G$23+I4*$I$23+K4*$K$23+M4*$M$23+O4*$O$23+Q4*$Q$23</f>
        <v>21.830486274081757</v>
      </c>
      <c r="U4" s="4">
        <f>IF(Input!$F$12-Input!$F$13&gt;$R4-15,'Yields for charts'!S4,0)</f>
        <v>15.772526333024068</v>
      </c>
      <c r="V4" s="4">
        <f>IF(Input!$F$12-Input!$F$13&gt;$R4-15,'Yields for charts'!T4,0)</f>
        <v>21.830486274081757</v>
      </c>
      <c r="X4" s="4">
        <f t="shared" ref="X4:X17" si="1">B4*$B$24+D4*$D$24+F4*$F$24+H4*$H$24+J4*$J$24+L4*$L$24+N4*$N$24+P4*$P$24</f>
        <v>15.772526333024068</v>
      </c>
      <c r="Y4" s="4">
        <f t="shared" ref="Y4:Y17" si="2">C4*$C$24+E4*$E$24+G4*$G$24+I4*$I$24+K4*$K$24+M4*$M$24+O4*$O$24+Q4*$Q$24</f>
        <v>21.830486274081757</v>
      </c>
      <c r="Z4" s="4">
        <f>IF(Input!$F$25-Input!$F$26&gt;$R4-15,'Yields for charts'!X4,0)</f>
        <v>15.772526333024068</v>
      </c>
      <c r="AA4" s="4">
        <f>IF(Input!$F$25-Input!$F$26&gt;$R4-15,'Yields for charts'!Y4,0)</f>
        <v>21.830486274081757</v>
      </c>
    </row>
    <row r="5" spans="1:27" x14ac:dyDescent="0.25">
      <c r="A5">
        <v>2</v>
      </c>
      <c r="B5" s="5">
        <f t="shared" ref="B5:Q5" si="3">B30</f>
        <v>1.1000000000000001</v>
      </c>
      <c r="C5" s="5">
        <f t="shared" si="3"/>
        <v>1.42</v>
      </c>
      <c r="D5" s="5">
        <f t="shared" si="3"/>
        <v>1.1399999999999999</v>
      </c>
      <c r="E5" s="5">
        <f t="shared" si="3"/>
        <v>1.29</v>
      </c>
      <c r="F5" s="5">
        <f t="shared" si="3"/>
        <v>1.04</v>
      </c>
      <c r="G5" s="5">
        <f t="shared" si="3"/>
        <v>1.1599999999999999</v>
      </c>
      <c r="H5" s="5">
        <f t="shared" si="3"/>
        <v>0.95</v>
      </c>
      <c r="I5" s="5">
        <f t="shared" si="3"/>
        <v>1.1499999999999999</v>
      </c>
      <c r="J5" s="5">
        <f t="shared" si="3"/>
        <v>1.04</v>
      </c>
      <c r="K5" s="5">
        <f t="shared" si="3"/>
        <v>1.2</v>
      </c>
      <c r="L5" s="5">
        <f t="shared" si="3"/>
        <v>1.18</v>
      </c>
      <c r="M5" s="5">
        <f t="shared" si="3"/>
        <v>1.1399999999999999</v>
      </c>
      <c r="N5" s="5">
        <f t="shared" si="3"/>
        <v>1.224</v>
      </c>
      <c r="O5" s="5">
        <f t="shared" si="3"/>
        <v>1.3260000000000001</v>
      </c>
      <c r="P5" s="5">
        <f t="shared" si="3"/>
        <v>1.1134071253210633</v>
      </c>
      <c r="Q5" s="5">
        <f t="shared" si="3"/>
        <v>1.2365325501792115</v>
      </c>
      <c r="R5" s="3">
        <f t="shared" ref="R5:R17" si="4">A5*30</f>
        <v>60</v>
      </c>
      <c r="S5" s="4">
        <f t="shared" ref="S5:S17" si="5">B5*$B$23+D5*$D$23+F5*$F$23+H5*$H$23+J5*$J$23+L5*$L$23+N5*$N$23+P5*$P$23</f>
        <v>20.411504666266442</v>
      </c>
      <c r="T5" s="4">
        <f t="shared" ref="T5:T17" si="6">C5*$C$23+E5*$E$23+G5*$G$23+I5*$I$23+K5*$K$23+M5*$M$23+O5*$O$23+Q5*$Q$23</f>
        <v>30.999290509196094</v>
      </c>
      <c r="U5" s="4">
        <f>IF(Input!$F$12-Input!$F$13&gt;$R5-15,'Yields for charts'!S5,0)</f>
        <v>20.411504666266442</v>
      </c>
      <c r="V5" s="4">
        <f>IF(Input!$F$12-Input!$F$13&gt;$R5-15,'Yields for charts'!T5,0)</f>
        <v>30.999290509196094</v>
      </c>
      <c r="X5" s="4">
        <f t="shared" si="1"/>
        <v>20.411504666266442</v>
      </c>
      <c r="Y5" s="4">
        <f t="shared" si="2"/>
        <v>30.999290509196094</v>
      </c>
      <c r="Z5" s="4">
        <f>IF(Input!$F$25-Input!$F$26&gt;$R5-15,'Yields for charts'!X5,0)</f>
        <v>20.411504666266442</v>
      </c>
      <c r="AA5" s="4">
        <f>IF(Input!$F$25-Input!$F$26&gt;$R5-15,'Yields for charts'!Y5,0)</f>
        <v>30.999290509196094</v>
      </c>
    </row>
    <row r="6" spans="1:27" x14ac:dyDescent="0.25">
      <c r="A6">
        <v>3</v>
      </c>
      <c r="B6" s="5">
        <f t="shared" ref="B6:Q6" si="7">B31</f>
        <v>1.25</v>
      </c>
      <c r="C6" s="5">
        <f t="shared" si="7"/>
        <v>1.38</v>
      </c>
      <c r="D6" s="5">
        <f t="shared" si="7"/>
        <v>1.21</v>
      </c>
      <c r="E6" s="5">
        <f t="shared" si="7"/>
        <v>1.28</v>
      </c>
      <c r="F6" s="5">
        <f t="shared" si="7"/>
        <v>1.1299999999999999</v>
      </c>
      <c r="G6" s="5">
        <f t="shared" si="7"/>
        <v>1.18</v>
      </c>
      <c r="H6" s="5">
        <f t="shared" si="7"/>
        <v>1.04</v>
      </c>
      <c r="I6" s="5">
        <f t="shared" si="7"/>
        <v>1.23</v>
      </c>
      <c r="J6" s="5">
        <f t="shared" si="7"/>
        <v>1.1200000000000001</v>
      </c>
      <c r="K6" s="5">
        <f t="shared" si="7"/>
        <v>1.21</v>
      </c>
      <c r="L6" s="5">
        <f t="shared" si="7"/>
        <v>1.24</v>
      </c>
      <c r="M6" s="5">
        <f t="shared" si="7"/>
        <v>1.22</v>
      </c>
      <c r="N6" s="5">
        <f t="shared" si="7"/>
        <v>1.1950000000000001</v>
      </c>
      <c r="O6" s="5">
        <f t="shared" si="7"/>
        <v>1.2549999999999999</v>
      </c>
      <c r="P6" s="5">
        <f t="shared" si="7"/>
        <v>1.1034208579922327</v>
      </c>
      <c r="Q6" s="5">
        <f t="shared" si="7"/>
        <v>1.1874750050344074</v>
      </c>
      <c r="R6" s="3">
        <f t="shared" si="4"/>
        <v>90</v>
      </c>
      <c r="S6" s="4">
        <f t="shared" si="5"/>
        <v>23.194891666211866</v>
      </c>
      <c r="T6" s="4">
        <f t="shared" si="6"/>
        <v>30.126071058232821</v>
      </c>
      <c r="U6" s="4">
        <f>IF(Input!$F$12-Input!$F$13&gt;$R6-15,'Yields for charts'!S6,0)</f>
        <v>23.194891666211866</v>
      </c>
      <c r="V6" s="4">
        <f>IF(Input!$F$12-Input!$F$13&gt;$R6-15,'Yields for charts'!T6,0)</f>
        <v>30.126071058232821</v>
      </c>
      <c r="X6" s="4">
        <f t="shared" si="1"/>
        <v>23.194891666211866</v>
      </c>
      <c r="Y6" s="4">
        <f t="shared" si="2"/>
        <v>30.126071058232821</v>
      </c>
      <c r="Z6" s="4">
        <f>IF(Input!$F$25-Input!$F$26&gt;$R6-15,'Yields for charts'!X6,0)</f>
        <v>23.194891666211866</v>
      </c>
      <c r="AA6" s="4">
        <f>IF(Input!$F$25-Input!$F$26&gt;$R6-15,'Yields for charts'!Y6,0)</f>
        <v>30.126071058232821</v>
      </c>
    </row>
    <row r="7" spans="1:27" x14ac:dyDescent="0.25">
      <c r="A7">
        <v>4</v>
      </c>
      <c r="B7" s="5">
        <f t="shared" ref="B7:Q7" si="8">B32</f>
        <v>1.23</v>
      </c>
      <c r="C7" s="5">
        <f t="shared" si="8"/>
        <v>1.23</v>
      </c>
      <c r="D7" s="5">
        <f t="shared" si="8"/>
        <v>1.1599999999999999</v>
      </c>
      <c r="E7" s="5">
        <f t="shared" si="8"/>
        <v>1.21</v>
      </c>
      <c r="F7" s="5">
        <f t="shared" si="8"/>
        <v>1.1299999999999999</v>
      </c>
      <c r="G7" s="5">
        <f t="shared" si="8"/>
        <v>1.18</v>
      </c>
      <c r="H7" s="5">
        <f t="shared" si="8"/>
        <v>1.0900000000000001</v>
      </c>
      <c r="I7" s="5">
        <f t="shared" si="8"/>
        <v>1.22</v>
      </c>
      <c r="J7" s="5">
        <f t="shared" si="8"/>
        <v>1.1200000000000001</v>
      </c>
      <c r="K7" s="5">
        <f t="shared" si="8"/>
        <v>1.1399999999999999</v>
      </c>
      <c r="L7" s="5">
        <f t="shared" si="8"/>
        <v>1.24</v>
      </c>
      <c r="M7" s="5">
        <f t="shared" si="8"/>
        <v>1.23</v>
      </c>
      <c r="N7" s="5">
        <f t="shared" si="8"/>
        <v>1.1339999999999999</v>
      </c>
      <c r="O7" s="5">
        <f t="shared" si="8"/>
        <v>1.151</v>
      </c>
      <c r="P7" s="5">
        <f t="shared" si="8"/>
        <v>1.0795345079276712</v>
      </c>
      <c r="Q7" s="5">
        <f t="shared" si="8"/>
        <v>1.1231929296529468</v>
      </c>
      <c r="R7" s="3">
        <f t="shared" si="4"/>
        <v>120</v>
      </c>
      <c r="S7" s="4">
        <f t="shared" si="5"/>
        <v>22.823773399552476</v>
      </c>
      <c r="T7" s="4">
        <f t="shared" si="6"/>
        <v>26.85149811712056</v>
      </c>
      <c r="U7" s="4">
        <f>IF(Input!$F$12-Input!$F$13&gt;$R7-15,'Yields for charts'!S7,0)</f>
        <v>22.823773399552476</v>
      </c>
      <c r="V7" s="4">
        <f>IF(Input!$F$12-Input!$F$13&gt;$R7-15,'Yields for charts'!T7,0)</f>
        <v>26.85149811712056</v>
      </c>
      <c r="X7" s="4">
        <f t="shared" si="1"/>
        <v>22.823773399552476</v>
      </c>
      <c r="Y7" s="4">
        <f t="shared" si="2"/>
        <v>26.85149811712056</v>
      </c>
      <c r="Z7" s="4">
        <f>IF(Input!$F$25-Input!$F$26&gt;$R7-15,'Yields for charts'!X7,0)</f>
        <v>22.823773399552476</v>
      </c>
      <c r="AA7" s="4">
        <f>IF(Input!$F$25-Input!$F$26&gt;$R7-15,'Yields for charts'!Y7,0)</f>
        <v>26.85149811712056</v>
      </c>
    </row>
    <row r="8" spans="1:27" x14ac:dyDescent="0.25">
      <c r="A8">
        <v>5</v>
      </c>
      <c r="B8" s="5">
        <f t="shared" ref="B8:Q8" si="9">B33</f>
        <v>1.1399999999999999</v>
      </c>
      <c r="C8" s="5">
        <f t="shared" si="9"/>
        <v>1.1200000000000001</v>
      </c>
      <c r="D8" s="5">
        <f t="shared" si="9"/>
        <v>1.1000000000000001</v>
      </c>
      <c r="E8" s="5">
        <f t="shared" si="9"/>
        <v>1.1100000000000001</v>
      </c>
      <c r="F8" s="5">
        <f t="shared" si="9"/>
        <v>1.07</v>
      </c>
      <c r="G8" s="5">
        <f t="shared" si="9"/>
        <v>1.0900000000000001</v>
      </c>
      <c r="H8" s="5">
        <f t="shared" si="9"/>
        <v>1.1200000000000001</v>
      </c>
      <c r="I8" s="5">
        <f t="shared" si="9"/>
        <v>1.1499999999999999</v>
      </c>
      <c r="J8" s="5">
        <f t="shared" si="9"/>
        <v>1.08</v>
      </c>
      <c r="K8" s="5">
        <f t="shared" si="9"/>
        <v>1.07</v>
      </c>
      <c r="L8" s="5">
        <f t="shared" si="9"/>
        <v>1.17</v>
      </c>
      <c r="M8" s="5">
        <f t="shared" si="9"/>
        <v>1.1599999999999999</v>
      </c>
      <c r="N8" s="5">
        <f t="shared" si="9"/>
        <v>1.0529999999999999</v>
      </c>
      <c r="O8" s="5">
        <f t="shared" si="9"/>
        <v>1.05</v>
      </c>
      <c r="P8" s="5">
        <f t="shared" si="9"/>
        <v>1.0579943269428358</v>
      </c>
      <c r="Q8" s="5">
        <f t="shared" si="9"/>
        <v>1.0626034361471524</v>
      </c>
      <c r="R8" s="3">
        <f t="shared" si="4"/>
        <v>150</v>
      </c>
      <c r="S8" s="4">
        <f t="shared" si="5"/>
        <v>21.15374119958522</v>
      </c>
      <c r="T8" s="4">
        <f t="shared" si="6"/>
        <v>24.450144626971571</v>
      </c>
      <c r="U8" s="4">
        <f>IF(Input!$F$12-Input!$F$13&gt;$R8-15,'Yields for charts'!S8,0)</f>
        <v>21.15374119958522</v>
      </c>
      <c r="V8" s="4">
        <f>IF(Input!$F$12-Input!$F$13&gt;$R8-15,'Yields for charts'!T8,0)</f>
        <v>24.450144626971571</v>
      </c>
      <c r="X8" s="4">
        <f t="shared" si="1"/>
        <v>21.15374119958522</v>
      </c>
      <c r="Y8" s="4">
        <f t="shared" si="2"/>
        <v>24.450144626971571</v>
      </c>
      <c r="Z8" s="4">
        <f>IF(Input!$F$25-Input!$F$26&gt;$R8-15,'Yields for charts'!X8,0)</f>
        <v>21.15374119958522</v>
      </c>
      <c r="AA8" s="4">
        <f>IF(Input!$F$25-Input!$F$26&gt;$R8-15,'Yields for charts'!Y8,0)</f>
        <v>24.450144626971571</v>
      </c>
    </row>
    <row r="9" spans="1:27" x14ac:dyDescent="0.25">
      <c r="A9">
        <v>6</v>
      </c>
      <c r="B9" s="5">
        <f t="shared" ref="B9:Q9" si="10">B34</f>
        <v>1.05</v>
      </c>
      <c r="C9" s="5">
        <f t="shared" si="10"/>
        <v>1</v>
      </c>
      <c r="D9" s="5">
        <f t="shared" si="10"/>
        <v>1.05</v>
      </c>
      <c r="E9" s="5">
        <f t="shared" si="10"/>
        <v>1.01</v>
      </c>
      <c r="F9" s="5">
        <f t="shared" si="10"/>
        <v>1.03</v>
      </c>
      <c r="G9" s="5">
        <f t="shared" si="10"/>
        <v>1.02</v>
      </c>
      <c r="H9" s="5">
        <f t="shared" si="10"/>
        <v>1.1000000000000001</v>
      </c>
      <c r="I9" s="5">
        <f t="shared" si="10"/>
        <v>1.05</v>
      </c>
      <c r="J9" s="5">
        <f t="shared" si="10"/>
        <v>1.04</v>
      </c>
      <c r="K9" s="5">
        <f t="shared" si="10"/>
        <v>1</v>
      </c>
      <c r="L9" s="5">
        <f t="shared" si="10"/>
        <v>1.06</v>
      </c>
      <c r="M9" s="5">
        <f t="shared" si="10"/>
        <v>1.06</v>
      </c>
      <c r="N9" s="5">
        <f t="shared" si="10"/>
        <v>0.98699999999999999</v>
      </c>
      <c r="O9" s="5">
        <f t="shared" si="10"/>
        <v>0.95899999999999996</v>
      </c>
      <c r="P9" s="5">
        <f t="shared" si="10"/>
        <v>1.0249186612811936</v>
      </c>
      <c r="Q9" s="5">
        <f t="shared" si="10"/>
        <v>1.0012465204998369</v>
      </c>
      <c r="R9" s="3">
        <f t="shared" si="4"/>
        <v>180</v>
      </c>
      <c r="S9" s="4">
        <f t="shared" si="5"/>
        <v>19.483708999617967</v>
      </c>
      <c r="T9" s="4">
        <f t="shared" si="6"/>
        <v>21.830486274081757</v>
      </c>
      <c r="U9" s="4">
        <f>IF(Input!$F$12-Input!$F$13&gt;$R9-15,'Yields for charts'!S9,0)</f>
        <v>19.483708999617967</v>
      </c>
      <c r="V9" s="4">
        <f>IF(Input!$F$12-Input!$F$13&gt;$R9-15,'Yields for charts'!T9,0)</f>
        <v>21.830486274081757</v>
      </c>
      <c r="X9" s="4">
        <f t="shared" si="1"/>
        <v>19.483708999617967</v>
      </c>
      <c r="Y9" s="4">
        <f t="shared" si="2"/>
        <v>21.830486274081757</v>
      </c>
      <c r="Z9" s="4">
        <f>IF(Input!$F$25-Input!$F$26&gt;$R9-15,'Yields for charts'!X9,0)</f>
        <v>19.483708999617967</v>
      </c>
      <c r="AA9" s="4">
        <f>IF(Input!$F$25-Input!$F$26&gt;$R9-15,'Yields for charts'!Y9,0)</f>
        <v>21.830486274081757</v>
      </c>
    </row>
    <row r="10" spans="1:27" x14ac:dyDescent="0.25">
      <c r="A10">
        <v>7</v>
      </c>
      <c r="B10" s="5">
        <f t="shared" ref="B10:Q10" si="11">B35</f>
        <v>0.97</v>
      </c>
      <c r="C10" s="5">
        <f t="shared" si="11"/>
        <v>0.88</v>
      </c>
      <c r="D10" s="5">
        <f t="shared" si="11"/>
        <v>0.98</v>
      </c>
      <c r="E10" s="5">
        <f t="shared" si="11"/>
        <v>0.91</v>
      </c>
      <c r="F10" s="5">
        <f t="shared" si="11"/>
        <v>1</v>
      </c>
      <c r="G10" s="5">
        <f t="shared" si="11"/>
        <v>0.95</v>
      </c>
      <c r="H10" s="5">
        <f t="shared" si="11"/>
        <v>1.07</v>
      </c>
      <c r="I10" s="5">
        <f t="shared" si="11"/>
        <v>0.96</v>
      </c>
      <c r="J10" s="5">
        <f t="shared" si="11"/>
        <v>1</v>
      </c>
      <c r="K10" s="5">
        <f t="shared" si="11"/>
        <v>0.95</v>
      </c>
      <c r="L10" s="5">
        <f t="shared" si="11"/>
        <v>0.97</v>
      </c>
      <c r="M10" s="5">
        <f t="shared" si="11"/>
        <v>0.96</v>
      </c>
      <c r="N10" s="5">
        <f t="shared" si="11"/>
        <v>0.92400000000000004</v>
      </c>
      <c r="O10" s="5">
        <f t="shared" si="11"/>
        <v>0.874</v>
      </c>
      <c r="P10" s="5">
        <f t="shared" si="11"/>
        <v>0.98607954256498143</v>
      </c>
      <c r="Q10" s="5">
        <f t="shared" si="11"/>
        <v>0.93745099404742571</v>
      </c>
      <c r="R10" s="3">
        <f t="shared" si="4"/>
        <v>210</v>
      </c>
      <c r="S10" s="4">
        <f t="shared" si="5"/>
        <v>17.999235932980408</v>
      </c>
      <c r="T10" s="4">
        <f t="shared" si="6"/>
        <v>19.210827921191946</v>
      </c>
      <c r="U10" s="4">
        <f>IF(Input!$F$12-Input!$F$13&gt;$R10-15,'Yields for charts'!S10,0)</f>
        <v>17.999235932980408</v>
      </c>
      <c r="V10" s="4">
        <f>IF(Input!$F$12-Input!$F$13&gt;$R10-15,'Yields for charts'!T10,0)</f>
        <v>19.210827921191946</v>
      </c>
      <c r="X10" s="4">
        <f t="shared" si="1"/>
        <v>17.999235932980408</v>
      </c>
      <c r="Y10" s="4">
        <f t="shared" si="2"/>
        <v>19.210827921191946</v>
      </c>
      <c r="Z10" s="4">
        <f>IF(Input!$F$25-Input!$F$26&gt;$R10-15,'Yields for charts'!X10,0)</f>
        <v>17.999235932980408</v>
      </c>
      <c r="AA10" s="4">
        <f>IF(Input!$F$25-Input!$F$26&gt;$R10-15,'Yields for charts'!Y10,0)</f>
        <v>19.210827921191946</v>
      </c>
    </row>
    <row r="11" spans="1:27" x14ac:dyDescent="0.25">
      <c r="A11">
        <v>8</v>
      </c>
      <c r="B11" s="5">
        <f t="shared" ref="B11:Q11" si="12">B36</f>
        <v>0.88</v>
      </c>
      <c r="C11" s="5">
        <f t="shared" si="12"/>
        <v>0.77</v>
      </c>
      <c r="D11" s="5">
        <f t="shared" si="12"/>
        <v>0.91</v>
      </c>
      <c r="E11" s="5">
        <f t="shared" si="12"/>
        <v>0.82</v>
      </c>
      <c r="F11" s="5">
        <f t="shared" si="12"/>
        <v>0.96</v>
      </c>
      <c r="G11" s="5">
        <f t="shared" si="12"/>
        <v>0.88</v>
      </c>
      <c r="H11" s="5">
        <f t="shared" si="12"/>
        <v>1.01</v>
      </c>
      <c r="I11" s="5">
        <f t="shared" si="12"/>
        <v>0.86</v>
      </c>
      <c r="J11" s="5">
        <f t="shared" si="12"/>
        <v>0.96</v>
      </c>
      <c r="K11" s="5">
        <f t="shared" si="12"/>
        <v>0.88</v>
      </c>
      <c r="L11" s="5">
        <f t="shared" si="12"/>
        <v>0.86</v>
      </c>
      <c r="M11" s="5">
        <f t="shared" si="12"/>
        <v>0.86</v>
      </c>
      <c r="N11" s="5">
        <f t="shared" si="12"/>
        <v>0.84699999999999998</v>
      </c>
      <c r="O11" s="5">
        <f t="shared" si="12"/>
        <v>0.78200000000000003</v>
      </c>
      <c r="P11" s="5">
        <f t="shared" si="12"/>
        <v>0.94467548067603457</v>
      </c>
      <c r="Q11" s="5">
        <f t="shared" si="12"/>
        <v>0.85988181074630499</v>
      </c>
      <c r="R11" s="3">
        <f t="shared" si="4"/>
        <v>240</v>
      </c>
      <c r="S11" s="4">
        <f t="shared" si="5"/>
        <v>16.329203733013152</v>
      </c>
      <c r="T11" s="4">
        <f t="shared" si="6"/>
        <v>16.809474431042954</v>
      </c>
      <c r="U11" s="4">
        <f>IF(Input!$F$12-Input!$F$13&gt;$R11-15,'Yields for charts'!S11,0)</f>
        <v>16.329203733013152</v>
      </c>
      <c r="V11" s="4">
        <f>IF(Input!$F$12-Input!$F$13&gt;$R11-15,'Yields for charts'!T11,0)</f>
        <v>16.809474431042954</v>
      </c>
      <c r="X11" s="4">
        <f t="shared" si="1"/>
        <v>16.329203733013152</v>
      </c>
      <c r="Y11" s="4">
        <f t="shared" si="2"/>
        <v>16.809474431042954</v>
      </c>
      <c r="Z11" s="4">
        <f>IF(Input!$F$25-Input!$F$26&gt;$R11-15,'Yields for charts'!X11,0)</f>
        <v>16.329203733013152</v>
      </c>
      <c r="AA11" s="4">
        <f>IF(Input!$F$25-Input!$F$26&gt;$R11-15,'Yields for charts'!Y11,0)</f>
        <v>16.809474431042954</v>
      </c>
    </row>
    <row r="12" spans="1:27" x14ac:dyDescent="0.25">
      <c r="A12">
        <v>9</v>
      </c>
      <c r="B12" s="5">
        <f t="shared" ref="B12:Q12" si="13">B37</f>
        <v>0.8</v>
      </c>
      <c r="C12" s="5">
        <f t="shared" si="13"/>
        <v>0.66</v>
      </c>
      <c r="D12" s="5">
        <f t="shared" si="13"/>
        <v>0.82</v>
      </c>
      <c r="E12" s="5">
        <f t="shared" si="13"/>
        <v>0.73</v>
      </c>
      <c r="F12" s="5">
        <f t="shared" si="13"/>
        <v>0.92</v>
      </c>
      <c r="G12" s="5">
        <f t="shared" si="13"/>
        <v>0.81</v>
      </c>
      <c r="H12" s="5">
        <f t="shared" si="13"/>
        <v>0.93</v>
      </c>
      <c r="I12" s="5">
        <f t="shared" si="13"/>
        <v>0.76</v>
      </c>
      <c r="J12" s="5">
        <f t="shared" si="13"/>
        <v>0.92</v>
      </c>
      <c r="K12" s="5">
        <f t="shared" si="13"/>
        <v>0.81</v>
      </c>
      <c r="L12" s="5">
        <f t="shared" si="13"/>
        <v>0.76</v>
      </c>
      <c r="M12" s="5">
        <f t="shared" si="13"/>
        <v>0.76</v>
      </c>
      <c r="N12" s="5">
        <f t="shared" si="13"/>
        <v>0.78300000000000003</v>
      </c>
      <c r="O12" s="5">
        <f t="shared" si="13"/>
        <v>0.70499999999999996</v>
      </c>
      <c r="P12" s="5">
        <f t="shared" si="13"/>
        <v>0.88005323558789128</v>
      </c>
      <c r="Q12" s="5">
        <f t="shared" si="13"/>
        <v>0.76715025333625197</v>
      </c>
      <c r="R12" s="3">
        <f t="shared" si="4"/>
        <v>270</v>
      </c>
      <c r="S12" s="4">
        <f t="shared" si="5"/>
        <v>14.844730666375595</v>
      </c>
      <c r="T12" s="4">
        <f t="shared" si="6"/>
        <v>14.40812094089396</v>
      </c>
      <c r="U12" s="4">
        <f>IF(Input!$F$12-Input!$F$13&gt;$R12-15,'Yields for charts'!S12,0)</f>
        <v>14.844730666375595</v>
      </c>
      <c r="V12" s="4">
        <f>IF(Input!$F$12-Input!$F$13&gt;$R12-15,'Yields for charts'!T12,0)</f>
        <v>14.40812094089396</v>
      </c>
      <c r="X12" s="4">
        <f t="shared" si="1"/>
        <v>14.844730666375595</v>
      </c>
      <c r="Y12" s="4">
        <f t="shared" si="2"/>
        <v>14.40812094089396</v>
      </c>
      <c r="Z12" s="4">
        <f>IF(Input!$F$25-Input!$F$26&gt;$R12-15,'Yields for charts'!X12,0)</f>
        <v>14.844730666375595</v>
      </c>
      <c r="AA12" s="4">
        <f>IF(Input!$F$25-Input!$F$26&gt;$R12-15,'Yields for charts'!Y12,0)</f>
        <v>14.40812094089396</v>
      </c>
    </row>
    <row r="13" spans="1:27" x14ac:dyDescent="0.25">
      <c r="A13">
        <v>10</v>
      </c>
      <c r="B13" s="5">
        <f t="shared" ref="B13:Q13" si="14">B38</f>
        <v>0.73</v>
      </c>
      <c r="C13" s="5">
        <f t="shared" si="14"/>
        <v>0.56000000000000005</v>
      </c>
      <c r="D13" s="5">
        <f t="shared" si="14"/>
        <v>0.78</v>
      </c>
      <c r="E13" s="5">
        <f t="shared" si="14"/>
        <v>0.64</v>
      </c>
      <c r="F13" s="5">
        <f t="shared" si="14"/>
        <v>0.87</v>
      </c>
      <c r="G13" s="5">
        <f t="shared" si="14"/>
        <v>0.72</v>
      </c>
      <c r="H13" s="5">
        <f t="shared" si="14"/>
        <v>0.85</v>
      </c>
      <c r="I13" s="5">
        <f t="shared" si="14"/>
        <v>0.66</v>
      </c>
      <c r="J13" s="5">
        <f t="shared" si="14"/>
        <v>0.87</v>
      </c>
      <c r="K13" s="5">
        <f t="shared" si="14"/>
        <v>0.75</v>
      </c>
      <c r="L13" s="5">
        <f t="shared" si="14"/>
        <v>0.66</v>
      </c>
      <c r="M13" s="5">
        <f t="shared" si="14"/>
        <v>0.66</v>
      </c>
      <c r="N13" s="5">
        <f t="shared" si="14"/>
        <v>0.73299999999999998</v>
      </c>
      <c r="O13" s="5">
        <f t="shared" si="14"/>
        <v>0.65100000000000002</v>
      </c>
      <c r="P13" s="5">
        <f t="shared" si="14"/>
        <v>0.8013837324854417</v>
      </c>
      <c r="Q13" s="5">
        <f t="shared" si="14"/>
        <v>0.67833942915093448</v>
      </c>
      <c r="R13" s="3">
        <f t="shared" si="4"/>
        <v>300</v>
      </c>
      <c r="S13" s="4">
        <f t="shared" si="5"/>
        <v>13.545816733067729</v>
      </c>
      <c r="T13" s="4">
        <f t="shared" si="6"/>
        <v>12.225072313485786</v>
      </c>
      <c r="U13" s="4">
        <f>IF(Input!$F$12-Input!$F$13&gt;$R13-15,'Yields for charts'!S13,0)</f>
        <v>13.545816733067729</v>
      </c>
      <c r="V13" s="4">
        <f>IF(Input!$F$12-Input!$F$13&gt;$R13-15,'Yields for charts'!T13,0)</f>
        <v>12.225072313485786</v>
      </c>
      <c r="X13" s="4">
        <f t="shared" si="1"/>
        <v>13.545816733067729</v>
      </c>
      <c r="Y13" s="4">
        <f t="shared" si="2"/>
        <v>12.225072313485786</v>
      </c>
      <c r="Z13" s="4">
        <f>IF(Input!$F$25-Input!$F$26&gt;$R13-15,'Yields for charts'!X13,0)</f>
        <v>13.545816733067729</v>
      </c>
      <c r="AA13" s="4">
        <f>IF(Input!$F$25-Input!$F$26&gt;$R13-15,'Yields for charts'!Y13,0)</f>
        <v>12.225072313485786</v>
      </c>
    </row>
    <row r="14" spans="1:27" x14ac:dyDescent="0.25">
      <c r="A14">
        <v>11</v>
      </c>
      <c r="B14" s="5">
        <f t="shared" ref="B14:Q14" si="15">B39</f>
        <v>0.65</v>
      </c>
      <c r="C14" s="5">
        <f t="shared" si="15"/>
        <v>0.47</v>
      </c>
      <c r="D14" s="5">
        <f t="shared" si="15"/>
        <v>0.72</v>
      </c>
      <c r="E14" s="5">
        <f t="shared" si="15"/>
        <v>0.55000000000000004</v>
      </c>
      <c r="F14" s="5">
        <f t="shared" si="15"/>
        <v>0.82</v>
      </c>
      <c r="G14" s="5">
        <f t="shared" si="15"/>
        <v>0.64</v>
      </c>
      <c r="H14" s="5">
        <f t="shared" si="15"/>
        <v>0.76</v>
      </c>
      <c r="I14" s="5">
        <f t="shared" si="15"/>
        <v>0.53</v>
      </c>
      <c r="J14" s="5">
        <f t="shared" si="15"/>
        <v>0.81</v>
      </c>
      <c r="K14" s="5">
        <f t="shared" si="15"/>
        <v>0.71</v>
      </c>
      <c r="L14" s="5">
        <f t="shared" si="15"/>
        <v>0.55000000000000004</v>
      </c>
      <c r="M14" s="5">
        <f t="shared" si="15"/>
        <v>0.55000000000000004</v>
      </c>
      <c r="N14" s="5">
        <f t="shared" si="15"/>
        <v>0.66370378151260501</v>
      </c>
      <c r="O14" s="5">
        <f t="shared" si="15"/>
        <v>0.56289473684210534</v>
      </c>
      <c r="P14" s="5">
        <f t="shared" si="15"/>
        <v>0.72562266533870878</v>
      </c>
      <c r="Q14" s="5">
        <f t="shared" si="15"/>
        <v>0.58653409287486813</v>
      </c>
      <c r="R14" s="3">
        <f t="shared" si="4"/>
        <v>330</v>
      </c>
      <c r="S14" s="4">
        <f t="shared" si="5"/>
        <v>12.061343666430171</v>
      </c>
      <c r="T14" s="4">
        <f t="shared" si="6"/>
        <v>10.260328548818425</v>
      </c>
      <c r="U14" s="4">
        <f>IF(Input!$F$12-Input!$F$13&gt;$R14-15,'Yields for charts'!S14,0)</f>
        <v>0</v>
      </c>
      <c r="V14" s="4">
        <f>IF(Input!$F$12-Input!$F$13&gt;$R14-15,'Yields for charts'!T14,0)</f>
        <v>0</v>
      </c>
      <c r="X14" s="4">
        <f t="shared" si="1"/>
        <v>12.061343666430171</v>
      </c>
      <c r="Y14" s="4">
        <f t="shared" si="2"/>
        <v>10.260328548818425</v>
      </c>
      <c r="Z14" s="4">
        <f>IF(Input!$F$25-Input!$F$26&gt;$R14-15,'Yields for charts'!X14,0)</f>
        <v>0</v>
      </c>
      <c r="AA14" s="4">
        <f>IF(Input!$F$25-Input!$F$26&gt;$R14-15,'Yields for charts'!Y14,0)</f>
        <v>0</v>
      </c>
    </row>
    <row r="15" spans="1:27" x14ac:dyDescent="0.25">
      <c r="A15">
        <v>12</v>
      </c>
      <c r="B15" s="5">
        <f t="shared" ref="B15:Q15" si="16">B40</f>
        <v>0.59</v>
      </c>
      <c r="C15" s="5">
        <f t="shared" si="16"/>
        <v>0.4</v>
      </c>
      <c r="D15" s="5">
        <f t="shared" si="16"/>
        <v>0.67</v>
      </c>
      <c r="E15" s="5">
        <f t="shared" si="16"/>
        <v>0.47</v>
      </c>
      <c r="F15" s="5">
        <f t="shared" si="16"/>
        <v>0.76</v>
      </c>
      <c r="G15" s="5">
        <f t="shared" si="16"/>
        <v>0.56000000000000005</v>
      </c>
      <c r="H15" s="5">
        <f t="shared" si="16"/>
        <v>0.69</v>
      </c>
      <c r="I15" s="5">
        <f t="shared" si="16"/>
        <v>0.43</v>
      </c>
      <c r="J15" s="5">
        <f t="shared" si="16"/>
        <v>0.75</v>
      </c>
      <c r="K15" s="5">
        <f t="shared" si="16"/>
        <v>0.65</v>
      </c>
      <c r="L15" s="5">
        <f t="shared" si="16"/>
        <v>0.44</v>
      </c>
      <c r="M15" s="5">
        <f t="shared" si="16"/>
        <v>0.44</v>
      </c>
      <c r="N15" s="5">
        <f t="shared" si="16"/>
        <v>0.60056722689075626</v>
      </c>
      <c r="O15" s="5">
        <f t="shared" si="16"/>
        <v>0.48131578947368425</v>
      </c>
      <c r="P15" s="5">
        <f t="shared" si="16"/>
        <v>0.65659591527168537</v>
      </c>
      <c r="Q15" s="5">
        <f t="shared" si="16"/>
        <v>0.50152915187851044</v>
      </c>
      <c r="R15" s="3">
        <f t="shared" si="4"/>
        <v>360</v>
      </c>
      <c r="S15" s="4">
        <f t="shared" si="5"/>
        <v>10.947988866452</v>
      </c>
      <c r="T15" s="4">
        <f t="shared" si="6"/>
        <v>8.7321945096327038</v>
      </c>
      <c r="U15" s="4">
        <f>IF(Input!$F$12-Input!$F$13&gt;$R15-15,'Yields for charts'!S15,0)</f>
        <v>0</v>
      </c>
      <c r="V15" s="4">
        <f>IF(Input!$F$12-Input!$F$13&gt;$R15-15,'Yields for charts'!T15,0)</f>
        <v>0</v>
      </c>
      <c r="X15" s="4">
        <f t="shared" si="1"/>
        <v>10.947988866452</v>
      </c>
      <c r="Y15" s="4">
        <f t="shared" si="2"/>
        <v>8.7321945096327038</v>
      </c>
      <c r="Z15" s="4">
        <f>IF(Input!$F$25-Input!$F$26&gt;$R15-15,'Yields for charts'!X15,0)</f>
        <v>0</v>
      </c>
      <c r="AA15" s="4">
        <f>IF(Input!$F$25-Input!$F$26&gt;$R15-15,'Yields for charts'!Y15,0)</f>
        <v>0</v>
      </c>
    </row>
    <row r="16" spans="1:27" x14ac:dyDescent="0.25">
      <c r="A16">
        <v>13</v>
      </c>
      <c r="B16" s="5">
        <f t="shared" ref="B16:Q16" si="17">B41</f>
        <v>0.54</v>
      </c>
      <c r="C16" s="5">
        <f t="shared" si="17"/>
        <v>0.36</v>
      </c>
      <c r="D16" s="5">
        <f t="shared" si="17"/>
        <v>0.62</v>
      </c>
      <c r="E16" s="5">
        <f t="shared" si="17"/>
        <v>0.41</v>
      </c>
      <c r="F16" s="5">
        <f t="shared" si="17"/>
        <v>0.7</v>
      </c>
      <c r="G16" s="5">
        <f t="shared" si="17"/>
        <v>0.49</v>
      </c>
      <c r="H16" s="5">
        <f t="shared" si="17"/>
        <v>0.64</v>
      </c>
      <c r="I16" s="5">
        <f t="shared" si="17"/>
        <v>0.33</v>
      </c>
      <c r="J16" s="5">
        <f t="shared" si="17"/>
        <v>0.67</v>
      </c>
      <c r="K16" s="5">
        <f t="shared" si="17"/>
        <v>0.6</v>
      </c>
      <c r="L16" s="5">
        <f t="shared" si="17"/>
        <v>0.36</v>
      </c>
      <c r="M16" s="5">
        <f t="shared" si="17"/>
        <v>0.36</v>
      </c>
      <c r="N16" s="5">
        <f t="shared" si="17"/>
        <v>0.54359033613445373</v>
      </c>
      <c r="O16" s="5">
        <f t="shared" si="17"/>
        <v>0.41605263157894734</v>
      </c>
      <c r="P16" s="5">
        <f t="shared" si="17"/>
        <v>0.59430348228437158</v>
      </c>
      <c r="Q16" s="5">
        <f t="shared" si="17"/>
        <v>0.43352519908142423</v>
      </c>
      <c r="R16" s="3">
        <f t="shared" si="4"/>
        <v>390</v>
      </c>
      <c r="S16" s="4">
        <f t="shared" si="5"/>
        <v>10.020193199803526</v>
      </c>
      <c r="T16" s="4">
        <f t="shared" si="6"/>
        <v>7.858975058669432</v>
      </c>
      <c r="U16" s="4">
        <f>IF(Input!$F$12-Input!$F$13&gt;$R16-15,'Yields for charts'!S16,0)</f>
        <v>0</v>
      </c>
      <c r="V16" s="4">
        <f>IF(Input!$F$12-Input!$F$13&gt;$R16-15,'Yields for charts'!T16,0)</f>
        <v>0</v>
      </c>
      <c r="X16" s="4">
        <f t="shared" si="1"/>
        <v>10.020193199803526</v>
      </c>
      <c r="Y16" s="4">
        <f t="shared" si="2"/>
        <v>7.858975058669432</v>
      </c>
      <c r="Z16" s="4">
        <f>IF(Input!$F$25-Input!$F$26&gt;$R16-15,'Yields for charts'!X16,0)</f>
        <v>0</v>
      </c>
      <c r="AA16" s="4">
        <f>IF(Input!$F$25-Input!$F$26&gt;$R16-15,'Yields for charts'!Y16,0)</f>
        <v>0</v>
      </c>
    </row>
    <row r="17" spans="1:27" x14ac:dyDescent="0.25">
      <c r="A17">
        <v>14</v>
      </c>
      <c r="B17" s="5">
        <f t="shared" ref="B17:Q17" si="18">B42</f>
        <v>0.49</v>
      </c>
      <c r="C17" s="5">
        <f t="shared" si="18"/>
        <v>0.33</v>
      </c>
      <c r="D17" s="5">
        <f t="shared" si="18"/>
        <v>0.57999999999999996</v>
      </c>
      <c r="E17" s="5">
        <f t="shared" si="18"/>
        <v>0.35</v>
      </c>
      <c r="F17" s="5">
        <f t="shared" si="18"/>
        <v>0.64</v>
      </c>
      <c r="G17" s="5">
        <f t="shared" si="18"/>
        <v>0.44</v>
      </c>
      <c r="H17" s="5">
        <f t="shared" si="18"/>
        <v>0.6</v>
      </c>
      <c r="I17" s="5">
        <f t="shared" si="18"/>
        <v>0.23</v>
      </c>
      <c r="J17" s="5">
        <f t="shared" si="18"/>
        <v>0.6</v>
      </c>
      <c r="K17" s="5">
        <f t="shared" si="18"/>
        <v>0.55000000000000004</v>
      </c>
      <c r="L17" s="5">
        <f t="shared" si="18"/>
        <v>0.28000000000000003</v>
      </c>
      <c r="M17" s="5">
        <f t="shared" si="18"/>
        <v>0.28000000000000003</v>
      </c>
      <c r="N17" s="5">
        <f t="shared" si="18"/>
        <v>0.49123319327731096</v>
      </c>
      <c r="O17" s="5">
        <f t="shared" si="18"/>
        <v>0.35568421052631571</v>
      </c>
      <c r="P17" s="5">
        <f t="shared" si="18"/>
        <v>0.53706178710684016</v>
      </c>
      <c r="Q17" s="5">
        <f t="shared" si="18"/>
        <v>0.37062154274411951</v>
      </c>
      <c r="R17" s="3">
        <f t="shared" si="4"/>
        <v>420</v>
      </c>
      <c r="S17" s="4">
        <f t="shared" si="5"/>
        <v>9.0923975331550508</v>
      </c>
      <c r="T17" s="4">
        <f t="shared" si="6"/>
        <v>7.2040604704469802</v>
      </c>
      <c r="U17" s="4">
        <f>IF(Input!$F$12-Input!$F$13&gt;$R17-15,'Yields for charts'!S17,0)</f>
        <v>0</v>
      </c>
      <c r="V17" s="4">
        <f>IF(Input!$F$12-Input!$F$13&gt;$R17-15,'Yields for charts'!T17,0)</f>
        <v>0</v>
      </c>
      <c r="X17" s="4">
        <f t="shared" si="1"/>
        <v>9.0923975331550508</v>
      </c>
      <c r="Y17" s="4">
        <f t="shared" si="2"/>
        <v>7.2040604704469802</v>
      </c>
      <c r="Z17" s="4">
        <f>IF(Input!$F$25-Input!$F$26&gt;$R17-15,'Yields for charts'!X17,0)</f>
        <v>0</v>
      </c>
      <c r="AA17" s="4">
        <f>IF(Input!$F$25-Input!$F$26&gt;$R17-15,'Yields for charts'!Y17,0)</f>
        <v>0</v>
      </c>
    </row>
    <row r="20" spans="1:27" x14ac:dyDescent="0.25">
      <c r="B20" t="s">
        <v>19</v>
      </c>
      <c r="D20" t="s">
        <v>6</v>
      </c>
      <c r="F20" t="s">
        <v>7</v>
      </c>
      <c r="H20" t="s">
        <v>15</v>
      </c>
      <c r="J20" t="s">
        <v>13</v>
      </c>
      <c r="L20" t="s">
        <v>11</v>
      </c>
      <c r="N20" t="s">
        <v>134</v>
      </c>
      <c r="P20" t="s">
        <v>135</v>
      </c>
    </row>
    <row r="21" spans="1:27" x14ac:dyDescent="0.25">
      <c r="B21" t="s">
        <v>107</v>
      </c>
      <c r="D21" t="s">
        <v>18</v>
      </c>
      <c r="F21" t="s">
        <v>17</v>
      </c>
      <c r="H21" t="s">
        <v>16</v>
      </c>
      <c r="J21" t="s">
        <v>14</v>
      </c>
      <c r="L21" t="s">
        <v>12</v>
      </c>
      <c r="N21" t="s">
        <v>136</v>
      </c>
      <c r="P21" t="s">
        <v>141</v>
      </c>
    </row>
    <row r="23" spans="1:27" x14ac:dyDescent="0.25">
      <c r="A23" t="s">
        <v>63</v>
      </c>
      <c r="B23" s="282">
        <f>IF(Input!$F$14=B20,'Hidden calculation original'!$B$21/365,0)</f>
        <v>18.555913332969492</v>
      </c>
      <c r="C23" s="282">
        <f>IF(Input!$F$14=B20,'Hidden calculation original'!$B$20/365,0)</f>
        <v>21.830486274081757</v>
      </c>
      <c r="D23" s="282">
        <f>IF(Input!$F$14=D20,'Hidden calculation original'!$B$21/365,0)</f>
        <v>0</v>
      </c>
      <c r="E23" s="282">
        <f>IF(Input!$F$14=D20,'Hidden calculation original'!$B$20/365,0)</f>
        <v>0</v>
      </c>
      <c r="F23" s="282">
        <f>IF(Input!$F$14=F20,'Hidden calculation original'!$B$21/365,0)</f>
        <v>0</v>
      </c>
      <c r="G23" s="282">
        <f>IF(Input!$F$14=F20,'Hidden calculation original'!$B$20/365,0)</f>
        <v>0</v>
      </c>
      <c r="H23" s="282">
        <f>IF(Input!$F$14=H20,'Hidden calculation original'!$B$21/365,0)</f>
        <v>0</v>
      </c>
      <c r="I23" s="282">
        <f>IF(Input!$F$14=H20,'Hidden calculation original'!$B$20/365,0)</f>
        <v>0</v>
      </c>
      <c r="J23" s="282">
        <f>IF(Input!$F$14=J20,'Hidden calculation original'!$B$21/365,0)</f>
        <v>0</v>
      </c>
      <c r="K23" s="282">
        <f>IF(Input!$F$14=J20,'Hidden calculation original'!$B$20/365,0)</f>
        <v>0</v>
      </c>
      <c r="L23" s="282">
        <f>IF(Input!$F$14=L20,'Hidden calculation original'!$B$21/365,0)</f>
        <v>0</v>
      </c>
      <c r="M23" s="282">
        <f>IF(Input!$F$14=L20,'Hidden calculation original'!$B$20/365,0)</f>
        <v>0</v>
      </c>
      <c r="N23" s="282">
        <f>IF(Input!$F$14=N20,'Hidden calculation original'!$B$21/365,0)</f>
        <v>0</v>
      </c>
      <c r="O23" s="282">
        <f>IF(Input!$F$14=N20,'Hidden calculation original'!$B$20/365,0)</f>
        <v>0</v>
      </c>
      <c r="P23" s="282">
        <f>IF(Input!$F$14=P20,'Hidden calculation original'!$B$21/365,0)</f>
        <v>0</v>
      </c>
      <c r="Q23" s="282">
        <f>IF(Input!$F$14=P20,'Hidden calculation original'!$B$20/365,0)</f>
        <v>0</v>
      </c>
    </row>
    <row r="24" spans="1:27" x14ac:dyDescent="0.25">
      <c r="A24" t="s">
        <v>64</v>
      </c>
      <c r="B24" s="282">
        <f>IF(Input!$F$27=B20,'Hidden calculation alter'!$B$21/365,0)</f>
        <v>18.555913332969492</v>
      </c>
      <c r="C24" s="282">
        <f>IF(Input!$F$27=B20,'Hidden calculation alter'!$B$20/365,0)</f>
        <v>21.830486274081757</v>
      </c>
      <c r="D24" s="282">
        <f>IF(Input!$F$27=D20,'Hidden calculation alter'!$B$21/365,0)</f>
        <v>0</v>
      </c>
      <c r="E24" s="282">
        <f>IF(Input!$F$27=D20,'Hidden calculation alter'!$B$20/365,0)</f>
        <v>0</v>
      </c>
      <c r="F24" s="282">
        <f>IF(Input!$F$27=F20,'Hidden calculation alter'!$B$21/365,0)</f>
        <v>0</v>
      </c>
      <c r="G24" s="282">
        <f>IF(Input!$F$27=F20,'Hidden calculation alter'!$B$20/365,0)</f>
        <v>0</v>
      </c>
      <c r="H24" s="282">
        <f>IF(Input!$F$27=H20,'Hidden calculation alter'!$B$21/365,0)</f>
        <v>0</v>
      </c>
      <c r="I24" s="282">
        <f>IF(Input!$F$27=H20,'Hidden calculation alter'!$B$20/365,0)</f>
        <v>0</v>
      </c>
      <c r="J24" s="282">
        <f>IF(Input!$F$27=J20,'Hidden calculation alter'!$B$21/365,0)</f>
        <v>0</v>
      </c>
      <c r="K24" s="282">
        <f>IF(Input!$F$27=J20,'Hidden calculation alter'!$B$20/365,0)</f>
        <v>0</v>
      </c>
      <c r="L24" s="282">
        <f>IF(Input!$F$27=L20,'Hidden calculation alter'!$B$21/365,0)</f>
        <v>0</v>
      </c>
      <c r="M24" s="282">
        <f>IF(Input!$F$27=L20,'Hidden calculation alter'!$B$20/365,0)</f>
        <v>0</v>
      </c>
      <c r="N24" s="282">
        <f>IF(Input!$F$27=N20,'Hidden calculation alter'!$B$21/365,0)</f>
        <v>0</v>
      </c>
      <c r="O24" s="282">
        <f>IF(Input!$F$27=N20,'Hidden calculation alter'!$B$20/365,0)</f>
        <v>0</v>
      </c>
      <c r="P24" s="282">
        <f>IF(Input!$F$27=P20,'Hidden calculation alter'!$B$21/365,0)</f>
        <v>0</v>
      </c>
      <c r="Q24" s="282">
        <f>IF(Input!$F$27=P20,'Hidden calculation alter'!$B$20/365,0)</f>
        <v>0</v>
      </c>
    </row>
    <row r="26" spans="1:27" x14ac:dyDescent="0.25">
      <c r="S26" t="s">
        <v>138</v>
      </c>
      <c r="U26" t="s">
        <v>138</v>
      </c>
    </row>
    <row r="27" spans="1:27" x14ac:dyDescent="0.25">
      <c r="A27" t="s">
        <v>1</v>
      </c>
      <c r="B27" t="s">
        <v>19</v>
      </c>
      <c r="D27" t="s">
        <v>6</v>
      </c>
      <c r="F27" t="s">
        <v>7</v>
      </c>
      <c r="H27" t="s">
        <v>15</v>
      </c>
      <c r="J27" t="s">
        <v>13</v>
      </c>
      <c r="L27" t="s">
        <v>11</v>
      </c>
      <c r="N27" t="s">
        <v>134</v>
      </c>
      <c r="P27" t="s">
        <v>135</v>
      </c>
      <c r="S27" t="s">
        <v>134</v>
      </c>
      <c r="U27" t="s">
        <v>135</v>
      </c>
      <c r="X27" t="s">
        <v>139</v>
      </c>
    </row>
    <row r="28" spans="1:27" x14ac:dyDescent="0.25">
      <c r="A28" t="s">
        <v>2</v>
      </c>
      <c r="B28" t="s">
        <v>4</v>
      </c>
      <c r="C28" t="s">
        <v>5</v>
      </c>
      <c r="D28" t="s">
        <v>4</v>
      </c>
      <c r="E28" t="s">
        <v>5</v>
      </c>
      <c r="F28" t="s">
        <v>4</v>
      </c>
      <c r="G28" t="s">
        <v>5</v>
      </c>
      <c r="H28" t="s">
        <v>4</v>
      </c>
      <c r="I28" t="s">
        <v>5</v>
      </c>
      <c r="J28" t="s">
        <v>4</v>
      </c>
      <c r="K28" t="s">
        <v>5</v>
      </c>
      <c r="L28" t="s">
        <v>4</v>
      </c>
      <c r="M28" t="s">
        <v>5</v>
      </c>
      <c r="N28" t="s">
        <v>4</v>
      </c>
      <c r="O28" t="s">
        <v>5</v>
      </c>
      <c r="P28" t="s">
        <v>4</v>
      </c>
      <c r="Q28" t="s">
        <v>5</v>
      </c>
      <c r="S28" t="s">
        <v>4</v>
      </c>
      <c r="T28" t="s">
        <v>5</v>
      </c>
      <c r="U28" t="s">
        <v>4</v>
      </c>
      <c r="V28" t="s">
        <v>5</v>
      </c>
      <c r="X28" t="s">
        <v>4</v>
      </c>
      <c r="Y28" t="s">
        <v>5</v>
      </c>
    </row>
    <row r="29" spans="1:27" x14ac:dyDescent="0.25">
      <c r="A29">
        <v>1</v>
      </c>
      <c r="B29" s="282">
        <v>0.85</v>
      </c>
      <c r="C29" s="282">
        <v>1</v>
      </c>
      <c r="D29" s="282">
        <v>0.85</v>
      </c>
      <c r="E29" s="282">
        <v>1</v>
      </c>
      <c r="F29" s="282">
        <v>0.85</v>
      </c>
      <c r="G29" s="282">
        <v>1</v>
      </c>
      <c r="H29" s="282">
        <v>0.85</v>
      </c>
      <c r="I29" s="282">
        <v>1</v>
      </c>
      <c r="J29" s="282">
        <v>0.85</v>
      </c>
      <c r="K29" s="282">
        <v>1</v>
      </c>
      <c r="L29" s="282">
        <v>0.85</v>
      </c>
      <c r="M29" s="282">
        <v>1</v>
      </c>
      <c r="N29" s="282">
        <v>1.119</v>
      </c>
      <c r="O29" s="282">
        <v>1.2470000000000001</v>
      </c>
      <c r="P29" s="282">
        <f>U29/U$43</f>
        <v>1.0085325292206533</v>
      </c>
      <c r="Q29" s="282">
        <f t="shared" ref="Q29:Q38" si="19">V29/V$43</f>
        <v>1.1461270712055274</v>
      </c>
      <c r="S29" s="36">
        <v>20.107605633802802</v>
      </c>
      <c r="T29" s="36">
        <v>27.998290686123401</v>
      </c>
      <c r="U29" s="36">
        <v>22.5147975230981</v>
      </c>
      <c r="V29" s="36">
        <v>31.5529263687854</v>
      </c>
      <c r="X29" s="282">
        <f t="shared" ref="X29:X42" si="20">AVERAGE(B29,D29,F29,H29,J29,L29)</f>
        <v>0.85</v>
      </c>
      <c r="Y29" s="282">
        <f t="shared" ref="Y29:Y42" si="21">AVERAGE(C29,E29,G29,I29,K29,M29)</f>
        <v>1</v>
      </c>
    </row>
    <row r="30" spans="1:27" x14ac:dyDescent="0.25">
      <c r="A30">
        <v>2</v>
      </c>
      <c r="B30" s="282">
        <v>1.1000000000000001</v>
      </c>
      <c r="C30" s="282">
        <v>1.42</v>
      </c>
      <c r="D30" s="282">
        <v>1.1399999999999999</v>
      </c>
      <c r="E30" s="282">
        <v>1.29</v>
      </c>
      <c r="F30" s="282">
        <v>1.04</v>
      </c>
      <c r="G30" s="282">
        <v>1.1599999999999999</v>
      </c>
      <c r="H30" s="282">
        <v>0.95</v>
      </c>
      <c r="I30" s="282">
        <v>1.1499999999999999</v>
      </c>
      <c r="J30" s="282">
        <v>1.04</v>
      </c>
      <c r="K30" s="282">
        <v>1.2</v>
      </c>
      <c r="L30" s="282">
        <v>1.18</v>
      </c>
      <c r="M30" s="282">
        <v>1.1399999999999999</v>
      </c>
      <c r="N30" s="282">
        <v>1.224</v>
      </c>
      <c r="O30" s="282">
        <v>1.3260000000000001</v>
      </c>
      <c r="P30" s="282">
        <f t="shared" ref="P30:P38" si="22">U30/U$43</f>
        <v>1.1134071253210633</v>
      </c>
      <c r="Q30" s="282">
        <f t="shared" si="19"/>
        <v>1.2365325501792115</v>
      </c>
      <c r="S30" s="36">
        <v>22.006690568789502</v>
      </c>
      <c r="T30" s="36">
        <v>29.7693336140646</v>
      </c>
      <c r="U30" s="36">
        <v>24.856051005860898</v>
      </c>
      <c r="V30" s="36">
        <v>34.0417929988974</v>
      </c>
      <c r="X30" s="282">
        <f t="shared" si="20"/>
        <v>1.075</v>
      </c>
      <c r="Y30" s="282">
        <f t="shared" si="21"/>
        <v>1.2266666666666666</v>
      </c>
    </row>
    <row r="31" spans="1:27" x14ac:dyDescent="0.25">
      <c r="A31">
        <v>3</v>
      </c>
      <c r="B31" s="282">
        <v>1.25</v>
      </c>
      <c r="C31" s="282">
        <v>1.38</v>
      </c>
      <c r="D31" s="282">
        <v>1.21</v>
      </c>
      <c r="E31" s="282">
        <v>1.28</v>
      </c>
      <c r="F31" s="282">
        <v>1.1299999999999999</v>
      </c>
      <c r="G31" s="282">
        <v>1.18</v>
      </c>
      <c r="H31" s="282">
        <v>1.04</v>
      </c>
      <c r="I31" s="282">
        <v>1.23</v>
      </c>
      <c r="J31" s="282">
        <v>1.1200000000000001</v>
      </c>
      <c r="K31" s="282">
        <v>1.21</v>
      </c>
      <c r="L31" s="282">
        <v>1.24</v>
      </c>
      <c r="M31" s="282">
        <v>1.22</v>
      </c>
      <c r="N31" s="282">
        <v>1.1950000000000001</v>
      </c>
      <c r="O31" s="282">
        <v>1.2549999999999999</v>
      </c>
      <c r="P31" s="282">
        <f t="shared" si="22"/>
        <v>1.1034208579922327</v>
      </c>
      <c r="Q31" s="282">
        <f t="shared" si="19"/>
        <v>1.1874750050344074</v>
      </c>
      <c r="S31" s="36">
        <v>21.483601342993499</v>
      </c>
      <c r="T31" s="36">
        <v>28.1658459644533</v>
      </c>
      <c r="U31" s="36">
        <v>24.6331144317735</v>
      </c>
      <c r="V31" s="36">
        <v>32.691236722306499</v>
      </c>
      <c r="X31" s="282">
        <f t="shared" si="20"/>
        <v>1.165</v>
      </c>
      <c r="Y31" s="282">
        <f t="shared" si="21"/>
        <v>1.25</v>
      </c>
    </row>
    <row r="32" spans="1:27" x14ac:dyDescent="0.25">
      <c r="A32">
        <v>4</v>
      </c>
      <c r="B32" s="282">
        <v>1.23</v>
      </c>
      <c r="C32" s="282">
        <v>1.23</v>
      </c>
      <c r="D32" s="282">
        <v>1.1599999999999999</v>
      </c>
      <c r="E32" s="282">
        <v>1.21</v>
      </c>
      <c r="F32" s="282">
        <v>1.1299999999999999</v>
      </c>
      <c r="G32" s="282">
        <v>1.18</v>
      </c>
      <c r="H32" s="282">
        <v>1.0900000000000001</v>
      </c>
      <c r="I32" s="282">
        <v>1.22</v>
      </c>
      <c r="J32" s="282">
        <v>1.1200000000000001</v>
      </c>
      <c r="K32" s="282">
        <v>1.1399999999999999</v>
      </c>
      <c r="L32" s="282">
        <v>1.24</v>
      </c>
      <c r="M32" s="282">
        <v>1.23</v>
      </c>
      <c r="N32" s="282">
        <v>1.1339999999999999</v>
      </c>
      <c r="O32" s="282">
        <v>1.151</v>
      </c>
      <c r="P32" s="282">
        <f t="shared" si="22"/>
        <v>1.0795345079276712</v>
      </c>
      <c r="Q32" s="282">
        <f t="shared" si="19"/>
        <v>1.1231929296529468</v>
      </c>
      <c r="S32" s="36">
        <v>20.383330381913702</v>
      </c>
      <c r="T32" s="36">
        <v>25.826076697694901</v>
      </c>
      <c r="U32" s="36">
        <v>24.099868036949701</v>
      </c>
      <c r="V32" s="36">
        <v>30.921548489386101</v>
      </c>
      <c r="X32" s="282">
        <f t="shared" si="20"/>
        <v>1.1616666666666666</v>
      </c>
      <c r="Y32" s="282">
        <f t="shared" si="21"/>
        <v>1.2016666666666664</v>
      </c>
    </row>
    <row r="33" spans="1:25" x14ac:dyDescent="0.25">
      <c r="A33">
        <v>5</v>
      </c>
      <c r="B33" s="282">
        <v>1.1399999999999999</v>
      </c>
      <c r="C33" s="282">
        <v>1.1200000000000001</v>
      </c>
      <c r="D33" s="282">
        <v>1.1000000000000001</v>
      </c>
      <c r="E33" s="282">
        <v>1.1100000000000001</v>
      </c>
      <c r="F33" s="282">
        <v>1.07</v>
      </c>
      <c r="G33" s="282">
        <v>1.0900000000000001</v>
      </c>
      <c r="H33" s="282">
        <v>1.1200000000000001</v>
      </c>
      <c r="I33" s="282">
        <v>1.1499999999999999</v>
      </c>
      <c r="J33" s="282">
        <v>1.08</v>
      </c>
      <c r="K33" s="282">
        <v>1.07</v>
      </c>
      <c r="L33" s="282">
        <v>1.17</v>
      </c>
      <c r="M33" s="282">
        <v>1.1599999999999999</v>
      </c>
      <c r="N33" s="282">
        <v>1.0529999999999999</v>
      </c>
      <c r="O33" s="282">
        <v>1.05</v>
      </c>
      <c r="P33" s="282">
        <f t="shared" si="22"/>
        <v>1.0579943269428358</v>
      </c>
      <c r="Q33" s="282">
        <f t="shared" si="19"/>
        <v>1.0626034361471524</v>
      </c>
      <c r="S33" s="36">
        <v>18.926958095015799</v>
      </c>
      <c r="T33" s="36">
        <v>23.562961702573201</v>
      </c>
      <c r="U33" s="36">
        <v>23.6189982588978</v>
      </c>
      <c r="V33" s="36">
        <v>29.253517190466098</v>
      </c>
      <c r="X33" s="282">
        <f t="shared" si="20"/>
        <v>1.1133333333333335</v>
      </c>
      <c r="Y33" s="282">
        <f t="shared" si="21"/>
        <v>1.1166666666666669</v>
      </c>
    </row>
    <row r="34" spans="1:25" x14ac:dyDescent="0.25">
      <c r="A34">
        <v>6</v>
      </c>
      <c r="B34" s="282">
        <v>1.05</v>
      </c>
      <c r="C34" s="282">
        <v>1</v>
      </c>
      <c r="D34" s="282">
        <v>1.05</v>
      </c>
      <c r="E34" s="282">
        <v>1.01</v>
      </c>
      <c r="F34" s="282">
        <v>1.03</v>
      </c>
      <c r="G34" s="282">
        <v>1.02</v>
      </c>
      <c r="H34" s="282">
        <v>1.1000000000000001</v>
      </c>
      <c r="I34" s="282">
        <v>1.05</v>
      </c>
      <c r="J34" s="282">
        <v>1.04</v>
      </c>
      <c r="K34" s="282">
        <v>1</v>
      </c>
      <c r="L34" s="282">
        <v>1.06</v>
      </c>
      <c r="M34" s="282">
        <v>1.06</v>
      </c>
      <c r="N34" s="282">
        <v>0.98699999999999999</v>
      </c>
      <c r="O34" s="282">
        <v>0.95899999999999996</v>
      </c>
      <c r="P34" s="282">
        <f t="shared" si="22"/>
        <v>1.0249186612811936</v>
      </c>
      <c r="Q34" s="282">
        <f t="shared" si="19"/>
        <v>1.0012465204998369</v>
      </c>
      <c r="S34" s="36">
        <v>17.749960897551599</v>
      </c>
      <c r="T34" s="36">
        <v>21.531268153527002</v>
      </c>
      <c r="U34" s="36">
        <v>22.880606691211799</v>
      </c>
      <c r="V34" s="36">
        <v>27.564358727784299</v>
      </c>
      <c r="X34" s="282">
        <f t="shared" si="20"/>
        <v>1.0549999999999999</v>
      </c>
      <c r="Y34" s="282">
        <f t="shared" si="21"/>
        <v>1.0233333333333334</v>
      </c>
    </row>
    <row r="35" spans="1:25" x14ac:dyDescent="0.25">
      <c r="A35">
        <v>7</v>
      </c>
      <c r="B35" s="282">
        <v>0.97</v>
      </c>
      <c r="C35" s="282">
        <v>0.88</v>
      </c>
      <c r="D35" s="282">
        <v>0.98</v>
      </c>
      <c r="E35" s="282">
        <v>0.91</v>
      </c>
      <c r="F35" s="282">
        <v>1</v>
      </c>
      <c r="G35" s="282">
        <v>0.95</v>
      </c>
      <c r="H35" s="282">
        <v>1.07</v>
      </c>
      <c r="I35" s="282">
        <v>0.96</v>
      </c>
      <c r="J35" s="282">
        <v>1</v>
      </c>
      <c r="K35" s="282">
        <v>0.95</v>
      </c>
      <c r="L35" s="282">
        <v>0.97</v>
      </c>
      <c r="M35" s="282">
        <v>0.96</v>
      </c>
      <c r="N35" s="282">
        <v>0.92400000000000004</v>
      </c>
      <c r="O35" s="282">
        <v>0.874</v>
      </c>
      <c r="P35" s="282">
        <f t="shared" si="22"/>
        <v>0.98607954256498143</v>
      </c>
      <c r="Q35" s="282">
        <f t="shared" si="19"/>
        <v>0.93745099404742571</v>
      </c>
      <c r="S35" s="36">
        <v>16.611076140902998</v>
      </c>
      <c r="T35" s="36">
        <v>19.607224294086301</v>
      </c>
      <c r="U35" s="36">
        <v>22.0135499840307</v>
      </c>
      <c r="V35" s="36">
        <v>25.808065207299201</v>
      </c>
      <c r="X35" s="282">
        <f t="shared" si="20"/>
        <v>0.99833333333333341</v>
      </c>
      <c r="Y35" s="282">
        <f t="shared" si="21"/>
        <v>0.93500000000000005</v>
      </c>
    </row>
    <row r="36" spans="1:25" x14ac:dyDescent="0.25">
      <c r="A36">
        <v>8</v>
      </c>
      <c r="B36" s="282">
        <v>0.88</v>
      </c>
      <c r="C36" s="282">
        <v>0.77</v>
      </c>
      <c r="D36" s="282">
        <v>0.91</v>
      </c>
      <c r="E36" s="282">
        <v>0.82</v>
      </c>
      <c r="F36" s="282">
        <v>0.96</v>
      </c>
      <c r="G36" s="282">
        <v>0.88</v>
      </c>
      <c r="H36" s="282">
        <v>1.01</v>
      </c>
      <c r="I36" s="282">
        <v>0.86</v>
      </c>
      <c r="J36" s="282">
        <v>0.96</v>
      </c>
      <c r="K36" s="282">
        <v>0.88</v>
      </c>
      <c r="L36" s="282">
        <v>0.86</v>
      </c>
      <c r="M36" s="282">
        <v>0.86</v>
      </c>
      <c r="N36" s="282">
        <v>0.84699999999999998</v>
      </c>
      <c r="O36" s="282">
        <v>0.78200000000000003</v>
      </c>
      <c r="P36" s="282">
        <f t="shared" si="22"/>
        <v>0.94467548067603457</v>
      </c>
      <c r="Q36" s="282">
        <f t="shared" si="19"/>
        <v>0.85988181074630499</v>
      </c>
      <c r="S36" s="36">
        <v>15.221920938851101</v>
      </c>
      <c r="T36" s="36">
        <v>17.554448753778601</v>
      </c>
      <c r="U36" s="36">
        <v>21.0892326783868</v>
      </c>
      <c r="V36" s="36">
        <v>23.672582335742302</v>
      </c>
      <c r="X36" s="282">
        <f t="shared" si="20"/>
        <v>0.93</v>
      </c>
      <c r="Y36" s="282">
        <f t="shared" si="21"/>
        <v>0.84500000000000008</v>
      </c>
    </row>
    <row r="37" spans="1:25" x14ac:dyDescent="0.25">
      <c r="A37">
        <v>9</v>
      </c>
      <c r="B37" s="282">
        <v>0.8</v>
      </c>
      <c r="C37" s="282">
        <v>0.66</v>
      </c>
      <c r="D37" s="282">
        <v>0.82</v>
      </c>
      <c r="E37" s="282">
        <v>0.73</v>
      </c>
      <c r="F37" s="282">
        <v>0.92</v>
      </c>
      <c r="G37" s="282">
        <v>0.81</v>
      </c>
      <c r="H37" s="282">
        <v>0.93</v>
      </c>
      <c r="I37" s="282">
        <v>0.76</v>
      </c>
      <c r="J37" s="282">
        <v>0.92</v>
      </c>
      <c r="K37" s="282">
        <v>0.81</v>
      </c>
      <c r="L37" s="282">
        <v>0.76</v>
      </c>
      <c r="M37" s="282">
        <v>0.76</v>
      </c>
      <c r="N37" s="282">
        <v>0.78300000000000003</v>
      </c>
      <c r="O37" s="282">
        <v>0.70499999999999996</v>
      </c>
      <c r="P37" s="282">
        <f t="shared" si="22"/>
        <v>0.88005323558789128</v>
      </c>
      <c r="Q37" s="282">
        <f t="shared" si="19"/>
        <v>0.76715025333625197</v>
      </c>
      <c r="S37" s="36">
        <v>14.078032601792399</v>
      </c>
      <c r="T37" s="36">
        <v>15.8221826339404</v>
      </c>
      <c r="U37" s="36">
        <v>19.646585345264199</v>
      </c>
      <c r="V37" s="36">
        <v>21.119678668660601</v>
      </c>
      <c r="X37" s="282">
        <f t="shared" si="20"/>
        <v>0.85833333333333339</v>
      </c>
      <c r="Y37" s="282">
        <f t="shared" si="21"/>
        <v>0.755</v>
      </c>
    </row>
    <row r="38" spans="1:25" x14ac:dyDescent="0.25">
      <c r="A38">
        <v>10</v>
      </c>
      <c r="B38" s="282">
        <v>0.73</v>
      </c>
      <c r="C38" s="282">
        <v>0.56000000000000005</v>
      </c>
      <c r="D38" s="282">
        <v>0.78</v>
      </c>
      <c r="E38" s="282">
        <v>0.64</v>
      </c>
      <c r="F38" s="282">
        <v>0.87</v>
      </c>
      <c r="G38" s="282">
        <v>0.72</v>
      </c>
      <c r="H38" s="282">
        <v>0.85</v>
      </c>
      <c r="I38" s="282">
        <v>0.66</v>
      </c>
      <c r="J38" s="282">
        <v>0.87</v>
      </c>
      <c r="K38" s="282">
        <v>0.75</v>
      </c>
      <c r="L38" s="282">
        <v>0.66</v>
      </c>
      <c r="M38" s="282">
        <v>0.66</v>
      </c>
      <c r="N38" s="282">
        <v>0.73299999999999998</v>
      </c>
      <c r="O38" s="282">
        <v>0.65100000000000002</v>
      </c>
      <c r="P38" s="282">
        <f t="shared" si="22"/>
        <v>0.8013837324854417</v>
      </c>
      <c r="Q38" s="282">
        <f t="shared" si="19"/>
        <v>0.67833942915093448</v>
      </c>
      <c r="S38" s="36">
        <v>13.178359431900899</v>
      </c>
      <c r="T38" s="36">
        <v>14.6233129390437</v>
      </c>
      <c r="U38" s="36">
        <v>17.890342604176698</v>
      </c>
      <c r="V38" s="36">
        <v>18.674712951793801</v>
      </c>
      <c r="X38" s="282">
        <f t="shared" si="20"/>
        <v>0.79333333333333333</v>
      </c>
      <c r="Y38" s="282">
        <f t="shared" si="21"/>
        <v>0.66500000000000004</v>
      </c>
    </row>
    <row r="39" spans="1:25" x14ac:dyDescent="0.25">
      <c r="A39">
        <v>11</v>
      </c>
      <c r="B39" s="282">
        <v>0.65</v>
      </c>
      <c r="C39" s="282">
        <v>0.47</v>
      </c>
      <c r="D39" s="282">
        <v>0.72</v>
      </c>
      <c r="E39" s="282">
        <v>0.55000000000000004</v>
      </c>
      <c r="F39" s="282">
        <v>0.82</v>
      </c>
      <c r="G39" s="282">
        <v>0.64</v>
      </c>
      <c r="H39" s="282">
        <v>0.76</v>
      </c>
      <c r="I39" s="282">
        <v>0.53</v>
      </c>
      <c r="J39" s="282">
        <v>0.81</v>
      </c>
      <c r="K39" s="282">
        <v>0.71</v>
      </c>
      <c r="L39" s="282">
        <v>0.55000000000000004</v>
      </c>
      <c r="M39" s="282">
        <v>0.55000000000000004</v>
      </c>
      <c r="N39" s="282">
        <v>0.66370378151260501</v>
      </c>
      <c r="O39" s="282">
        <v>0.56289473684210534</v>
      </c>
      <c r="P39" s="282">
        <f>P$38/X$38*X39</f>
        <v>0.72562266533870878</v>
      </c>
      <c r="Q39" s="282">
        <f>Q$38/Y$38*Y39</f>
        <v>0.58653409287486813</v>
      </c>
      <c r="S39" s="36"/>
      <c r="T39" s="36"/>
      <c r="U39" s="36"/>
      <c r="V39" s="36"/>
      <c r="X39" s="282">
        <f t="shared" si="20"/>
        <v>0.71833333333333338</v>
      </c>
      <c r="Y39" s="282">
        <f t="shared" si="21"/>
        <v>0.57500000000000007</v>
      </c>
    </row>
    <row r="40" spans="1:25" x14ac:dyDescent="0.25">
      <c r="A40">
        <v>12</v>
      </c>
      <c r="B40" s="282">
        <v>0.59</v>
      </c>
      <c r="C40" s="282">
        <v>0.4</v>
      </c>
      <c r="D40" s="282">
        <v>0.67</v>
      </c>
      <c r="E40" s="282">
        <v>0.47</v>
      </c>
      <c r="F40" s="282">
        <v>0.76</v>
      </c>
      <c r="G40" s="282">
        <v>0.56000000000000005</v>
      </c>
      <c r="H40" s="282">
        <v>0.69</v>
      </c>
      <c r="I40" s="282">
        <v>0.43</v>
      </c>
      <c r="J40" s="282">
        <v>0.75</v>
      </c>
      <c r="K40" s="282">
        <v>0.65</v>
      </c>
      <c r="L40" s="282">
        <v>0.44</v>
      </c>
      <c r="M40" s="282">
        <v>0.44</v>
      </c>
      <c r="N40" s="282">
        <v>0.60056722689075626</v>
      </c>
      <c r="O40" s="282">
        <v>0.48131578947368425</v>
      </c>
      <c r="P40" s="282">
        <f t="shared" ref="P40:Q42" si="23">P$38/X$38*X40</f>
        <v>0.65659591527168537</v>
      </c>
      <c r="Q40" s="282">
        <f t="shared" si="23"/>
        <v>0.50152915187851044</v>
      </c>
      <c r="S40" s="36"/>
      <c r="T40" s="36"/>
      <c r="U40" s="36"/>
      <c r="V40" s="36"/>
      <c r="X40" s="282">
        <f t="shared" si="20"/>
        <v>0.65</v>
      </c>
      <c r="Y40" s="282">
        <f t="shared" si="21"/>
        <v>0.4916666666666667</v>
      </c>
    </row>
    <row r="41" spans="1:25" x14ac:dyDescent="0.25">
      <c r="A41">
        <v>13</v>
      </c>
      <c r="B41" s="282">
        <v>0.54</v>
      </c>
      <c r="C41" s="282">
        <v>0.36</v>
      </c>
      <c r="D41" s="282">
        <v>0.62</v>
      </c>
      <c r="E41" s="282">
        <v>0.41</v>
      </c>
      <c r="F41" s="282">
        <v>0.7</v>
      </c>
      <c r="G41" s="282">
        <v>0.49</v>
      </c>
      <c r="H41" s="282">
        <v>0.64</v>
      </c>
      <c r="I41" s="282">
        <v>0.33</v>
      </c>
      <c r="J41" s="282">
        <v>0.67</v>
      </c>
      <c r="K41" s="282">
        <v>0.6</v>
      </c>
      <c r="L41" s="282">
        <v>0.36</v>
      </c>
      <c r="M41" s="282">
        <v>0.36</v>
      </c>
      <c r="N41" s="282">
        <v>0.54359033613445373</v>
      </c>
      <c r="O41" s="282">
        <v>0.41605263157894734</v>
      </c>
      <c r="P41" s="282">
        <f t="shared" si="23"/>
        <v>0.59430348228437158</v>
      </c>
      <c r="Q41" s="282">
        <f t="shared" si="23"/>
        <v>0.43352519908142423</v>
      </c>
      <c r="S41" s="36"/>
      <c r="T41" s="36"/>
      <c r="U41" s="36"/>
      <c r="V41" s="36"/>
      <c r="X41" s="282">
        <f t="shared" si="20"/>
        <v>0.58833333333333326</v>
      </c>
      <c r="Y41" s="282">
        <f t="shared" si="21"/>
        <v>0.42499999999999999</v>
      </c>
    </row>
    <row r="42" spans="1:25" x14ac:dyDescent="0.25">
      <c r="A42">
        <v>14</v>
      </c>
      <c r="B42" s="282">
        <v>0.49</v>
      </c>
      <c r="C42" s="282">
        <v>0.33</v>
      </c>
      <c r="D42" s="282">
        <v>0.57999999999999996</v>
      </c>
      <c r="E42" s="282">
        <v>0.35</v>
      </c>
      <c r="F42" s="282">
        <v>0.64</v>
      </c>
      <c r="G42" s="282">
        <v>0.44</v>
      </c>
      <c r="H42" s="282">
        <v>0.6</v>
      </c>
      <c r="I42" s="282">
        <v>0.23</v>
      </c>
      <c r="J42" s="282">
        <v>0.6</v>
      </c>
      <c r="K42" s="282">
        <v>0.55000000000000004</v>
      </c>
      <c r="L42" s="282">
        <v>0.28000000000000003</v>
      </c>
      <c r="M42" s="282">
        <v>0.28000000000000003</v>
      </c>
      <c r="N42" s="282">
        <v>0.49123319327731096</v>
      </c>
      <c r="O42" s="282">
        <v>0.35568421052631571</v>
      </c>
      <c r="P42" s="282">
        <f t="shared" si="23"/>
        <v>0.53706178710684016</v>
      </c>
      <c r="Q42" s="282">
        <f t="shared" si="23"/>
        <v>0.37062154274411951</v>
      </c>
      <c r="S42" s="36"/>
      <c r="T42" s="36"/>
      <c r="U42" s="36"/>
      <c r="V42" s="36"/>
      <c r="X42" s="282">
        <f t="shared" si="20"/>
        <v>0.53166666666666673</v>
      </c>
      <c r="Y42" s="282">
        <f t="shared" si="21"/>
        <v>0.36333333333333329</v>
      </c>
    </row>
    <row r="43" spans="1:25" x14ac:dyDescent="0.25">
      <c r="S43" s="36">
        <f>AVERAGE(S29:S38)</f>
        <v>17.974753603351431</v>
      </c>
      <c r="T43" s="36">
        <f>AVERAGE(T29:T38)</f>
        <v>22.446094543928542</v>
      </c>
      <c r="U43" s="36">
        <f>AVERAGE(U29:U38)</f>
        <v>22.324314655965022</v>
      </c>
      <c r="V43" s="36">
        <f>AVERAGE(V29:V38)</f>
        <v>27.530041966112172</v>
      </c>
      <c r="W43" s="282"/>
    </row>
    <row r="45" spans="1:25" x14ac:dyDescent="0.25">
      <c r="S45" t="s">
        <v>142</v>
      </c>
      <c r="U45" t="s">
        <v>142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2:C144"/>
  <sheetViews>
    <sheetView topLeftCell="A102" workbookViewId="0">
      <selection activeCell="F18" sqref="F18"/>
    </sheetView>
  </sheetViews>
  <sheetFormatPr defaultRowHeight="12.5" x14ac:dyDescent="0.25"/>
  <cols>
    <col min="1" max="1" width="22.7265625" bestFit="1" customWidth="1"/>
    <col min="2" max="2" width="66.26953125" bestFit="1" customWidth="1"/>
  </cols>
  <sheetData>
    <row r="2" spans="1:3" x14ac:dyDescent="0.25">
      <c r="A2" t="s">
        <v>19</v>
      </c>
      <c r="B2" t="s">
        <v>20</v>
      </c>
      <c r="C2">
        <v>1</v>
      </c>
    </row>
    <row r="3" spans="1:3" x14ac:dyDescent="0.25">
      <c r="A3" t="s">
        <v>6</v>
      </c>
      <c r="B3" t="s">
        <v>18</v>
      </c>
      <c r="C3">
        <v>2</v>
      </c>
    </row>
    <row r="4" spans="1:3" x14ac:dyDescent="0.25">
      <c r="A4" t="s">
        <v>7</v>
      </c>
      <c r="B4" t="s">
        <v>17</v>
      </c>
      <c r="C4">
        <v>3</v>
      </c>
    </row>
    <row r="5" spans="1:3" x14ac:dyDescent="0.25">
      <c r="A5" t="s">
        <v>15</v>
      </c>
      <c r="B5" t="s">
        <v>16</v>
      </c>
      <c r="C5">
        <v>4</v>
      </c>
    </row>
    <row r="6" spans="1:3" x14ac:dyDescent="0.25">
      <c r="A6" t="s">
        <v>13</v>
      </c>
      <c r="B6" t="s">
        <v>14</v>
      </c>
      <c r="C6">
        <v>5</v>
      </c>
    </row>
    <row r="7" spans="1:3" x14ac:dyDescent="0.25">
      <c r="A7" t="s">
        <v>11</v>
      </c>
      <c r="B7" t="s">
        <v>12</v>
      </c>
      <c r="C7">
        <v>6</v>
      </c>
    </row>
    <row r="8" spans="1:3" x14ac:dyDescent="0.25">
      <c r="A8" t="s">
        <v>134</v>
      </c>
      <c r="B8" t="s">
        <v>136</v>
      </c>
      <c r="C8">
        <v>7</v>
      </c>
    </row>
    <row r="9" spans="1:3" x14ac:dyDescent="0.25">
      <c r="A9" t="s">
        <v>135</v>
      </c>
      <c r="B9" t="s">
        <v>141</v>
      </c>
      <c r="C9">
        <v>8</v>
      </c>
    </row>
    <row r="12" spans="1:3" x14ac:dyDescent="0.25">
      <c r="A12" t="s">
        <v>25</v>
      </c>
      <c r="B12" t="s">
        <v>30</v>
      </c>
      <c r="C12" t="s">
        <v>24</v>
      </c>
    </row>
    <row r="13" spans="1:3" x14ac:dyDescent="0.25">
      <c r="A13" s="22">
        <v>45046</v>
      </c>
      <c r="B13">
        <f t="shared" ref="B13:B21" si="0">MONTH(A13)</f>
        <v>4</v>
      </c>
      <c r="C13">
        <f t="shared" ref="C13:C21" si="1">DAY(A13)</f>
        <v>30</v>
      </c>
    </row>
    <row r="14" spans="1:3" x14ac:dyDescent="0.25">
      <c r="A14" s="22">
        <v>45077</v>
      </c>
      <c r="B14">
        <f t="shared" si="0"/>
        <v>5</v>
      </c>
      <c r="C14">
        <f t="shared" si="1"/>
        <v>31</v>
      </c>
    </row>
    <row r="15" spans="1:3" x14ac:dyDescent="0.25">
      <c r="A15" s="22">
        <v>45107</v>
      </c>
      <c r="B15">
        <f t="shared" si="0"/>
        <v>6</v>
      </c>
      <c r="C15">
        <f t="shared" si="1"/>
        <v>30</v>
      </c>
    </row>
    <row r="16" spans="1:3" x14ac:dyDescent="0.25">
      <c r="A16" s="22">
        <v>45138</v>
      </c>
      <c r="B16">
        <f t="shared" si="0"/>
        <v>7</v>
      </c>
      <c r="C16">
        <f t="shared" si="1"/>
        <v>31</v>
      </c>
    </row>
    <row r="17" spans="1:3" x14ac:dyDescent="0.25">
      <c r="A17" s="22">
        <v>45169</v>
      </c>
      <c r="B17">
        <f t="shared" si="0"/>
        <v>8</v>
      </c>
      <c r="C17">
        <f t="shared" si="1"/>
        <v>31</v>
      </c>
    </row>
    <row r="18" spans="1:3" x14ac:dyDescent="0.25">
      <c r="A18" s="22">
        <v>45199</v>
      </c>
      <c r="B18">
        <f t="shared" si="0"/>
        <v>9</v>
      </c>
      <c r="C18">
        <f t="shared" si="1"/>
        <v>30</v>
      </c>
    </row>
    <row r="19" spans="1:3" x14ac:dyDescent="0.25">
      <c r="A19" s="22">
        <v>45230</v>
      </c>
      <c r="B19">
        <f t="shared" si="0"/>
        <v>10</v>
      </c>
      <c r="C19">
        <f t="shared" si="1"/>
        <v>31</v>
      </c>
    </row>
    <row r="20" spans="1:3" x14ac:dyDescent="0.25">
      <c r="A20" s="22">
        <v>45260</v>
      </c>
      <c r="B20">
        <f t="shared" si="0"/>
        <v>11</v>
      </c>
      <c r="C20">
        <f t="shared" si="1"/>
        <v>30</v>
      </c>
    </row>
    <row r="21" spans="1:3" x14ac:dyDescent="0.25">
      <c r="A21" s="22">
        <v>45291</v>
      </c>
      <c r="B21">
        <f t="shared" si="0"/>
        <v>12</v>
      </c>
      <c r="C21">
        <f t="shared" si="1"/>
        <v>31</v>
      </c>
    </row>
    <row r="22" spans="1:3" x14ac:dyDescent="0.25">
      <c r="A22" s="22">
        <v>45322</v>
      </c>
      <c r="B22">
        <f t="shared" ref="B22:B85" si="2">MONTH(A22)</f>
        <v>1</v>
      </c>
      <c r="C22">
        <f t="shared" ref="C22:C85" si="3">DAY(A22)</f>
        <v>31</v>
      </c>
    </row>
    <row r="23" spans="1:3" x14ac:dyDescent="0.25">
      <c r="A23" s="22">
        <v>45351</v>
      </c>
      <c r="B23">
        <f t="shared" si="2"/>
        <v>2</v>
      </c>
      <c r="C23">
        <f t="shared" si="3"/>
        <v>29</v>
      </c>
    </row>
    <row r="24" spans="1:3" x14ac:dyDescent="0.25">
      <c r="A24" s="22">
        <v>45382</v>
      </c>
      <c r="B24">
        <f t="shared" si="2"/>
        <v>3</v>
      </c>
      <c r="C24">
        <f t="shared" si="3"/>
        <v>31</v>
      </c>
    </row>
    <row r="25" spans="1:3" x14ac:dyDescent="0.25">
      <c r="A25" s="22">
        <v>45412</v>
      </c>
      <c r="B25">
        <f t="shared" si="2"/>
        <v>4</v>
      </c>
      <c r="C25">
        <f t="shared" si="3"/>
        <v>30</v>
      </c>
    </row>
    <row r="26" spans="1:3" x14ac:dyDescent="0.25">
      <c r="A26" s="22">
        <v>45443</v>
      </c>
      <c r="B26">
        <f t="shared" si="2"/>
        <v>5</v>
      </c>
      <c r="C26">
        <f t="shared" si="3"/>
        <v>31</v>
      </c>
    </row>
    <row r="27" spans="1:3" x14ac:dyDescent="0.25">
      <c r="A27" s="22">
        <v>45473</v>
      </c>
      <c r="B27">
        <f t="shared" si="2"/>
        <v>6</v>
      </c>
      <c r="C27">
        <f t="shared" si="3"/>
        <v>30</v>
      </c>
    </row>
    <row r="28" spans="1:3" x14ac:dyDescent="0.25">
      <c r="A28" s="22">
        <v>45504</v>
      </c>
      <c r="B28">
        <f t="shared" si="2"/>
        <v>7</v>
      </c>
      <c r="C28">
        <f t="shared" si="3"/>
        <v>31</v>
      </c>
    </row>
    <row r="29" spans="1:3" x14ac:dyDescent="0.25">
      <c r="A29" s="22">
        <v>45535</v>
      </c>
      <c r="B29">
        <f t="shared" si="2"/>
        <v>8</v>
      </c>
      <c r="C29">
        <f t="shared" si="3"/>
        <v>31</v>
      </c>
    </row>
    <row r="30" spans="1:3" x14ac:dyDescent="0.25">
      <c r="A30" s="22">
        <v>45565</v>
      </c>
      <c r="B30">
        <f t="shared" si="2"/>
        <v>9</v>
      </c>
      <c r="C30">
        <f t="shared" si="3"/>
        <v>30</v>
      </c>
    </row>
    <row r="31" spans="1:3" x14ac:dyDescent="0.25">
      <c r="A31" s="22">
        <v>45596</v>
      </c>
      <c r="B31">
        <f t="shared" si="2"/>
        <v>10</v>
      </c>
      <c r="C31">
        <f t="shared" si="3"/>
        <v>31</v>
      </c>
    </row>
    <row r="32" spans="1:3" x14ac:dyDescent="0.25">
      <c r="A32" s="22">
        <v>45626</v>
      </c>
      <c r="B32">
        <f t="shared" si="2"/>
        <v>11</v>
      </c>
      <c r="C32">
        <f t="shared" si="3"/>
        <v>30</v>
      </c>
    </row>
    <row r="33" spans="1:3" x14ac:dyDescent="0.25">
      <c r="A33" s="22">
        <v>45657</v>
      </c>
      <c r="B33">
        <f t="shared" si="2"/>
        <v>12</v>
      </c>
      <c r="C33">
        <f t="shared" si="3"/>
        <v>31</v>
      </c>
    </row>
    <row r="34" spans="1:3" x14ac:dyDescent="0.25">
      <c r="A34" s="22">
        <v>45688</v>
      </c>
      <c r="B34">
        <f t="shared" si="2"/>
        <v>1</v>
      </c>
      <c r="C34">
        <f t="shared" si="3"/>
        <v>31</v>
      </c>
    </row>
    <row r="35" spans="1:3" x14ac:dyDescent="0.25">
      <c r="A35" s="22">
        <v>45716</v>
      </c>
      <c r="B35">
        <f t="shared" si="2"/>
        <v>2</v>
      </c>
      <c r="C35">
        <f t="shared" si="3"/>
        <v>28</v>
      </c>
    </row>
    <row r="36" spans="1:3" x14ac:dyDescent="0.25">
      <c r="A36" s="22">
        <v>45747</v>
      </c>
      <c r="B36">
        <f t="shared" si="2"/>
        <v>3</v>
      </c>
      <c r="C36">
        <f t="shared" si="3"/>
        <v>31</v>
      </c>
    </row>
    <row r="37" spans="1:3" x14ac:dyDescent="0.25">
      <c r="A37" s="22">
        <v>45777</v>
      </c>
      <c r="B37">
        <f t="shared" si="2"/>
        <v>4</v>
      </c>
      <c r="C37">
        <f t="shared" si="3"/>
        <v>30</v>
      </c>
    </row>
    <row r="38" spans="1:3" x14ac:dyDescent="0.25">
      <c r="A38" s="22">
        <v>45808</v>
      </c>
      <c r="B38">
        <f t="shared" si="2"/>
        <v>5</v>
      </c>
      <c r="C38">
        <f t="shared" si="3"/>
        <v>31</v>
      </c>
    </row>
    <row r="39" spans="1:3" x14ac:dyDescent="0.25">
      <c r="A39" s="22">
        <v>45838</v>
      </c>
      <c r="B39">
        <f t="shared" si="2"/>
        <v>6</v>
      </c>
      <c r="C39">
        <f t="shared" si="3"/>
        <v>30</v>
      </c>
    </row>
    <row r="40" spans="1:3" x14ac:dyDescent="0.25">
      <c r="A40" s="22">
        <v>45869</v>
      </c>
      <c r="B40">
        <f t="shared" si="2"/>
        <v>7</v>
      </c>
      <c r="C40">
        <f t="shared" si="3"/>
        <v>31</v>
      </c>
    </row>
    <row r="41" spans="1:3" x14ac:dyDescent="0.25">
      <c r="A41" s="22">
        <v>45900</v>
      </c>
      <c r="B41">
        <f t="shared" si="2"/>
        <v>8</v>
      </c>
      <c r="C41">
        <f t="shared" si="3"/>
        <v>31</v>
      </c>
    </row>
    <row r="42" spans="1:3" x14ac:dyDescent="0.25">
      <c r="A42" s="22">
        <v>45930</v>
      </c>
      <c r="B42">
        <f t="shared" si="2"/>
        <v>9</v>
      </c>
      <c r="C42">
        <f t="shared" si="3"/>
        <v>30</v>
      </c>
    </row>
    <row r="43" spans="1:3" x14ac:dyDescent="0.25">
      <c r="A43" s="22">
        <v>45961</v>
      </c>
      <c r="B43">
        <f t="shared" si="2"/>
        <v>10</v>
      </c>
      <c r="C43">
        <f t="shared" si="3"/>
        <v>31</v>
      </c>
    </row>
    <row r="44" spans="1:3" x14ac:dyDescent="0.25">
      <c r="A44" s="22">
        <v>45991</v>
      </c>
      <c r="B44">
        <f t="shared" si="2"/>
        <v>11</v>
      </c>
      <c r="C44">
        <f t="shared" si="3"/>
        <v>30</v>
      </c>
    </row>
    <row r="45" spans="1:3" x14ac:dyDescent="0.25">
      <c r="A45" s="22">
        <v>46022</v>
      </c>
      <c r="B45">
        <f t="shared" si="2"/>
        <v>12</v>
      </c>
      <c r="C45">
        <f t="shared" si="3"/>
        <v>31</v>
      </c>
    </row>
    <row r="46" spans="1:3" x14ac:dyDescent="0.25">
      <c r="A46" s="22">
        <v>46053</v>
      </c>
      <c r="B46">
        <f t="shared" si="2"/>
        <v>1</v>
      </c>
      <c r="C46">
        <f t="shared" si="3"/>
        <v>31</v>
      </c>
    </row>
    <row r="47" spans="1:3" x14ac:dyDescent="0.25">
      <c r="A47" s="22">
        <v>46081</v>
      </c>
      <c r="B47">
        <f t="shared" si="2"/>
        <v>2</v>
      </c>
      <c r="C47">
        <f t="shared" si="3"/>
        <v>28</v>
      </c>
    </row>
    <row r="48" spans="1:3" x14ac:dyDescent="0.25">
      <c r="A48" s="22">
        <v>46112</v>
      </c>
      <c r="B48">
        <f t="shared" si="2"/>
        <v>3</v>
      </c>
      <c r="C48">
        <f t="shared" si="3"/>
        <v>31</v>
      </c>
    </row>
    <row r="49" spans="1:3" x14ac:dyDescent="0.25">
      <c r="A49" s="22">
        <v>46142</v>
      </c>
      <c r="B49">
        <f t="shared" si="2"/>
        <v>4</v>
      </c>
      <c r="C49">
        <f t="shared" si="3"/>
        <v>30</v>
      </c>
    </row>
    <row r="50" spans="1:3" x14ac:dyDescent="0.25">
      <c r="A50" s="22">
        <v>46173</v>
      </c>
      <c r="B50">
        <f t="shared" si="2"/>
        <v>5</v>
      </c>
      <c r="C50">
        <f t="shared" si="3"/>
        <v>31</v>
      </c>
    </row>
    <row r="51" spans="1:3" x14ac:dyDescent="0.25">
      <c r="A51" s="22">
        <v>46203</v>
      </c>
      <c r="B51">
        <f t="shared" si="2"/>
        <v>6</v>
      </c>
      <c r="C51">
        <f t="shared" si="3"/>
        <v>30</v>
      </c>
    </row>
    <row r="52" spans="1:3" x14ac:dyDescent="0.25">
      <c r="A52" s="22">
        <v>46234</v>
      </c>
      <c r="B52">
        <f t="shared" si="2"/>
        <v>7</v>
      </c>
      <c r="C52">
        <f t="shared" si="3"/>
        <v>31</v>
      </c>
    </row>
    <row r="53" spans="1:3" x14ac:dyDescent="0.25">
      <c r="A53" s="22">
        <v>46265</v>
      </c>
      <c r="B53">
        <f t="shared" si="2"/>
        <v>8</v>
      </c>
      <c r="C53">
        <f t="shared" si="3"/>
        <v>31</v>
      </c>
    </row>
    <row r="54" spans="1:3" x14ac:dyDescent="0.25">
      <c r="A54" s="22">
        <v>46295</v>
      </c>
      <c r="B54">
        <f t="shared" si="2"/>
        <v>9</v>
      </c>
      <c r="C54">
        <f t="shared" si="3"/>
        <v>30</v>
      </c>
    </row>
    <row r="55" spans="1:3" x14ac:dyDescent="0.25">
      <c r="A55" s="22">
        <v>46326</v>
      </c>
      <c r="B55">
        <f t="shared" si="2"/>
        <v>10</v>
      </c>
      <c r="C55">
        <f t="shared" si="3"/>
        <v>31</v>
      </c>
    </row>
    <row r="56" spans="1:3" x14ac:dyDescent="0.25">
      <c r="A56" s="22">
        <v>46356</v>
      </c>
      <c r="B56">
        <f t="shared" si="2"/>
        <v>11</v>
      </c>
      <c r="C56">
        <f t="shared" si="3"/>
        <v>30</v>
      </c>
    </row>
    <row r="57" spans="1:3" x14ac:dyDescent="0.25">
      <c r="A57" s="22">
        <v>46387</v>
      </c>
      <c r="B57">
        <f t="shared" si="2"/>
        <v>12</v>
      </c>
      <c r="C57">
        <f t="shared" si="3"/>
        <v>31</v>
      </c>
    </row>
    <row r="58" spans="1:3" x14ac:dyDescent="0.25">
      <c r="A58" s="22">
        <v>46418</v>
      </c>
      <c r="B58">
        <f t="shared" si="2"/>
        <v>1</v>
      </c>
      <c r="C58">
        <f t="shared" si="3"/>
        <v>31</v>
      </c>
    </row>
    <row r="59" spans="1:3" x14ac:dyDescent="0.25">
      <c r="A59" s="22">
        <v>46446</v>
      </c>
      <c r="B59">
        <f t="shared" si="2"/>
        <v>2</v>
      </c>
      <c r="C59">
        <f t="shared" si="3"/>
        <v>28</v>
      </c>
    </row>
    <row r="60" spans="1:3" x14ac:dyDescent="0.25">
      <c r="A60" s="22">
        <v>46477</v>
      </c>
      <c r="B60">
        <f t="shared" si="2"/>
        <v>3</v>
      </c>
      <c r="C60">
        <f t="shared" si="3"/>
        <v>31</v>
      </c>
    </row>
    <row r="61" spans="1:3" x14ac:dyDescent="0.25">
      <c r="A61" s="22">
        <v>46507</v>
      </c>
      <c r="B61">
        <f t="shared" si="2"/>
        <v>4</v>
      </c>
      <c r="C61">
        <f t="shared" si="3"/>
        <v>30</v>
      </c>
    </row>
    <row r="62" spans="1:3" x14ac:dyDescent="0.25">
      <c r="A62" s="22">
        <v>46538</v>
      </c>
      <c r="B62">
        <f t="shared" si="2"/>
        <v>5</v>
      </c>
      <c r="C62">
        <f t="shared" si="3"/>
        <v>31</v>
      </c>
    </row>
    <row r="63" spans="1:3" x14ac:dyDescent="0.25">
      <c r="A63" s="22">
        <v>46568</v>
      </c>
      <c r="B63">
        <f t="shared" si="2"/>
        <v>6</v>
      </c>
      <c r="C63">
        <f t="shared" si="3"/>
        <v>30</v>
      </c>
    </row>
    <row r="64" spans="1:3" x14ac:dyDescent="0.25">
      <c r="A64" s="22">
        <v>46599</v>
      </c>
      <c r="B64">
        <f t="shared" si="2"/>
        <v>7</v>
      </c>
      <c r="C64">
        <f t="shared" si="3"/>
        <v>31</v>
      </c>
    </row>
    <row r="65" spans="1:3" x14ac:dyDescent="0.25">
      <c r="A65" s="22">
        <v>46630</v>
      </c>
      <c r="B65">
        <f t="shared" si="2"/>
        <v>8</v>
      </c>
      <c r="C65">
        <f t="shared" si="3"/>
        <v>31</v>
      </c>
    </row>
    <row r="66" spans="1:3" x14ac:dyDescent="0.25">
      <c r="A66" s="22">
        <v>46660</v>
      </c>
      <c r="B66">
        <f t="shared" si="2"/>
        <v>9</v>
      </c>
      <c r="C66">
        <f t="shared" si="3"/>
        <v>30</v>
      </c>
    </row>
    <row r="67" spans="1:3" x14ac:dyDescent="0.25">
      <c r="A67" s="22">
        <v>46691</v>
      </c>
      <c r="B67">
        <f t="shared" si="2"/>
        <v>10</v>
      </c>
      <c r="C67">
        <f t="shared" si="3"/>
        <v>31</v>
      </c>
    </row>
    <row r="68" spans="1:3" x14ac:dyDescent="0.25">
      <c r="A68" s="22">
        <v>46721</v>
      </c>
      <c r="B68">
        <f t="shared" si="2"/>
        <v>11</v>
      </c>
      <c r="C68">
        <f t="shared" si="3"/>
        <v>30</v>
      </c>
    </row>
    <row r="69" spans="1:3" x14ac:dyDescent="0.25">
      <c r="A69" s="22">
        <v>46752</v>
      </c>
      <c r="B69">
        <f t="shared" si="2"/>
        <v>12</v>
      </c>
      <c r="C69">
        <f t="shared" si="3"/>
        <v>31</v>
      </c>
    </row>
    <row r="70" spans="1:3" x14ac:dyDescent="0.25">
      <c r="A70" s="22">
        <v>46783</v>
      </c>
      <c r="B70">
        <f t="shared" si="2"/>
        <v>1</v>
      </c>
      <c r="C70">
        <f t="shared" si="3"/>
        <v>31</v>
      </c>
    </row>
    <row r="71" spans="1:3" x14ac:dyDescent="0.25">
      <c r="A71" s="22">
        <v>46812</v>
      </c>
      <c r="B71">
        <f t="shared" si="2"/>
        <v>2</v>
      </c>
      <c r="C71">
        <f t="shared" si="3"/>
        <v>29</v>
      </c>
    </row>
    <row r="72" spans="1:3" x14ac:dyDescent="0.25">
      <c r="A72" s="22">
        <v>46843</v>
      </c>
      <c r="B72">
        <f t="shared" si="2"/>
        <v>3</v>
      </c>
      <c r="C72">
        <f t="shared" si="3"/>
        <v>31</v>
      </c>
    </row>
    <row r="73" spans="1:3" x14ac:dyDescent="0.25">
      <c r="A73" s="22">
        <v>46873</v>
      </c>
      <c r="B73">
        <f t="shared" si="2"/>
        <v>4</v>
      </c>
      <c r="C73">
        <f t="shared" si="3"/>
        <v>30</v>
      </c>
    </row>
    <row r="74" spans="1:3" x14ac:dyDescent="0.25">
      <c r="A74" s="22">
        <v>46904</v>
      </c>
      <c r="B74">
        <f t="shared" si="2"/>
        <v>5</v>
      </c>
      <c r="C74">
        <f t="shared" si="3"/>
        <v>31</v>
      </c>
    </row>
    <row r="75" spans="1:3" x14ac:dyDescent="0.25">
      <c r="A75" s="22">
        <v>46934</v>
      </c>
      <c r="B75">
        <f t="shared" si="2"/>
        <v>6</v>
      </c>
      <c r="C75">
        <f t="shared" si="3"/>
        <v>30</v>
      </c>
    </row>
    <row r="76" spans="1:3" x14ac:dyDescent="0.25">
      <c r="A76" s="22">
        <v>46965</v>
      </c>
      <c r="B76">
        <f t="shared" si="2"/>
        <v>7</v>
      </c>
      <c r="C76">
        <f t="shared" si="3"/>
        <v>31</v>
      </c>
    </row>
    <row r="77" spans="1:3" x14ac:dyDescent="0.25">
      <c r="A77" s="22">
        <v>46996</v>
      </c>
      <c r="B77">
        <f t="shared" si="2"/>
        <v>8</v>
      </c>
      <c r="C77">
        <f t="shared" si="3"/>
        <v>31</v>
      </c>
    </row>
    <row r="78" spans="1:3" x14ac:dyDescent="0.25">
      <c r="A78" s="22">
        <v>47026</v>
      </c>
      <c r="B78">
        <f t="shared" si="2"/>
        <v>9</v>
      </c>
      <c r="C78">
        <f t="shared" si="3"/>
        <v>30</v>
      </c>
    </row>
    <row r="79" spans="1:3" x14ac:dyDescent="0.25">
      <c r="A79" s="22">
        <v>47057</v>
      </c>
      <c r="B79">
        <f t="shared" si="2"/>
        <v>10</v>
      </c>
      <c r="C79">
        <f t="shared" si="3"/>
        <v>31</v>
      </c>
    </row>
    <row r="80" spans="1:3" x14ac:dyDescent="0.25">
      <c r="A80" s="22">
        <v>47087</v>
      </c>
      <c r="B80">
        <f t="shared" si="2"/>
        <v>11</v>
      </c>
      <c r="C80">
        <f t="shared" si="3"/>
        <v>30</v>
      </c>
    </row>
    <row r="81" spans="1:3" x14ac:dyDescent="0.25">
      <c r="A81" s="22">
        <v>47118</v>
      </c>
      <c r="B81">
        <f t="shared" si="2"/>
        <v>12</v>
      </c>
      <c r="C81">
        <f t="shared" si="3"/>
        <v>31</v>
      </c>
    </row>
    <row r="82" spans="1:3" x14ac:dyDescent="0.25">
      <c r="A82" s="22">
        <v>47149</v>
      </c>
      <c r="B82">
        <f t="shared" si="2"/>
        <v>1</v>
      </c>
      <c r="C82">
        <f t="shared" si="3"/>
        <v>31</v>
      </c>
    </row>
    <row r="83" spans="1:3" x14ac:dyDescent="0.25">
      <c r="A83" s="22">
        <v>47177</v>
      </c>
      <c r="B83">
        <f t="shared" si="2"/>
        <v>2</v>
      </c>
      <c r="C83">
        <f t="shared" si="3"/>
        <v>28</v>
      </c>
    </row>
    <row r="84" spans="1:3" x14ac:dyDescent="0.25">
      <c r="A84" s="22">
        <v>47208</v>
      </c>
      <c r="B84">
        <f t="shared" si="2"/>
        <v>3</v>
      </c>
      <c r="C84">
        <f t="shared" si="3"/>
        <v>31</v>
      </c>
    </row>
    <row r="85" spans="1:3" x14ac:dyDescent="0.25">
      <c r="A85" s="22">
        <v>47238</v>
      </c>
      <c r="B85">
        <f t="shared" si="2"/>
        <v>4</v>
      </c>
      <c r="C85">
        <f t="shared" si="3"/>
        <v>30</v>
      </c>
    </row>
    <row r="86" spans="1:3" x14ac:dyDescent="0.25">
      <c r="A86" s="22">
        <v>47269</v>
      </c>
      <c r="B86">
        <f t="shared" ref="B86:B102" si="4">MONTH(A86)</f>
        <v>5</v>
      </c>
      <c r="C86">
        <f t="shared" ref="C86:C102" si="5">DAY(A86)</f>
        <v>31</v>
      </c>
    </row>
    <row r="87" spans="1:3" x14ac:dyDescent="0.25">
      <c r="A87" s="22">
        <v>47299</v>
      </c>
      <c r="B87">
        <f t="shared" si="4"/>
        <v>6</v>
      </c>
      <c r="C87">
        <f t="shared" si="5"/>
        <v>30</v>
      </c>
    </row>
    <row r="88" spans="1:3" x14ac:dyDescent="0.25">
      <c r="A88" s="22">
        <v>47330</v>
      </c>
      <c r="B88">
        <f t="shared" si="4"/>
        <v>7</v>
      </c>
      <c r="C88">
        <f t="shared" si="5"/>
        <v>31</v>
      </c>
    </row>
    <row r="89" spans="1:3" x14ac:dyDescent="0.25">
      <c r="A89" s="22">
        <v>47361</v>
      </c>
      <c r="B89">
        <f t="shared" si="4"/>
        <v>8</v>
      </c>
      <c r="C89">
        <f t="shared" si="5"/>
        <v>31</v>
      </c>
    </row>
    <row r="90" spans="1:3" x14ac:dyDescent="0.25">
      <c r="A90" s="22">
        <v>47391</v>
      </c>
      <c r="B90">
        <f t="shared" si="4"/>
        <v>9</v>
      </c>
      <c r="C90">
        <f t="shared" si="5"/>
        <v>30</v>
      </c>
    </row>
    <row r="91" spans="1:3" x14ac:dyDescent="0.25">
      <c r="A91" s="22">
        <v>47422</v>
      </c>
      <c r="B91">
        <f t="shared" si="4"/>
        <v>10</v>
      </c>
      <c r="C91">
        <f t="shared" si="5"/>
        <v>31</v>
      </c>
    </row>
    <row r="92" spans="1:3" x14ac:dyDescent="0.25">
      <c r="A92" s="22">
        <v>47452</v>
      </c>
      <c r="B92">
        <f t="shared" si="4"/>
        <v>11</v>
      </c>
      <c r="C92">
        <f t="shared" si="5"/>
        <v>30</v>
      </c>
    </row>
    <row r="93" spans="1:3" x14ac:dyDescent="0.25">
      <c r="A93" s="22">
        <v>47483</v>
      </c>
      <c r="B93">
        <f t="shared" si="4"/>
        <v>12</v>
      </c>
      <c r="C93">
        <f t="shared" si="5"/>
        <v>31</v>
      </c>
    </row>
    <row r="94" spans="1:3" x14ac:dyDescent="0.25">
      <c r="A94" s="22">
        <v>47514</v>
      </c>
      <c r="B94">
        <f t="shared" si="4"/>
        <v>1</v>
      </c>
      <c r="C94">
        <f t="shared" si="5"/>
        <v>31</v>
      </c>
    </row>
    <row r="95" spans="1:3" x14ac:dyDescent="0.25">
      <c r="A95" s="22">
        <v>47542</v>
      </c>
      <c r="B95">
        <f t="shared" si="4"/>
        <v>2</v>
      </c>
      <c r="C95">
        <f t="shared" si="5"/>
        <v>28</v>
      </c>
    </row>
    <row r="96" spans="1:3" x14ac:dyDescent="0.25">
      <c r="A96" s="22">
        <v>47573</v>
      </c>
      <c r="B96">
        <f t="shared" si="4"/>
        <v>3</v>
      </c>
      <c r="C96">
        <f t="shared" si="5"/>
        <v>31</v>
      </c>
    </row>
    <row r="97" spans="1:3" x14ac:dyDescent="0.25">
      <c r="A97" s="22">
        <v>47603</v>
      </c>
      <c r="B97">
        <f t="shared" si="4"/>
        <v>4</v>
      </c>
      <c r="C97">
        <f t="shared" si="5"/>
        <v>30</v>
      </c>
    </row>
    <row r="98" spans="1:3" x14ac:dyDescent="0.25">
      <c r="A98" s="22">
        <v>47634</v>
      </c>
      <c r="B98">
        <f t="shared" si="4"/>
        <v>5</v>
      </c>
      <c r="C98">
        <f t="shared" si="5"/>
        <v>31</v>
      </c>
    </row>
    <row r="99" spans="1:3" x14ac:dyDescent="0.25">
      <c r="A99" s="22">
        <v>47664</v>
      </c>
      <c r="B99">
        <f t="shared" si="4"/>
        <v>6</v>
      </c>
      <c r="C99">
        <f t="shared" si="5"/>
        <v>30</v>
      </c>
    </row>
    <row r="100" spans="1:3" x14ac:dyDescent="0.25">
      <c r="A100" s="22">
        <v>47695</v>
      </c>
      <c r="B100">
        <f t="shared" si="4"/>
        <v>7</v>
      </c>
      <c r="C100">
        <f t="shared" si="5"/>
        <v>31</v>
      </c>
    </row>
    <row r="101" spans="1:3" x14ac:dyDescent="0.25">
      <c r="A101" s="22">
        <v>47726</v>
      </c>
      <c r="B101">
        <f t="shared" si="4"/>
        <v>8</v>
      </c>
      <c r="C101">
        <f t="shared" si="5"/>
        <v>31</v>
      </c>
    </row>
    <row r="102" spans="1:3" x14ac:dyDescent="0.25">
      <c r="A102" s="22">
        <v>47756</v>
      </c>
      <c r="B102">
        <f t="shared" si="4"/>
        <v>9</v>
      </c>
      <c r="C102">
        <f t="shared" si="5"/>
        <v>30</v>
      </c>
    </row>
    <row r="103" spans="1:3" x14ac:dyDescent="0.25">
      <c r="A103" s="22">
        <v>47787</v>
      </c>
      <c r="B103">
        <f t="shared" ref="B103:B109" si="6">MONTH(A103)</f>
        <v>10</v>
      </c>
      <c r="C103">
        <f t="shared" ref="C103:C109" si="7">DAY(A103)</f>
        <v>31</v>
      </c>
    </row>
    <row r="104" spans="1:3" x14ac:dyDescent="0.25">
      <c r="A104" s="22">
        <v>47817</v>
      </c>
      <c r="B104">
        <f t="shared" si="6"/>
        <v>11</v>
      </c>
      <c r="C104">
        <f t="shared" si="7"/>
        <v>30</v>
      </c>
    </row>
    <row r="105" spans="1:3" x14ac:dyDescent="0.25">
      <c r="A105" s="22">
        <v>47848</v>
      </c>
      <c r="B105">
        <f t="shared" si="6"/>
        <v>12</v>
      </c>
      <c r="C105">
        <f t="shared" si="7"/>
        <v>31</v>
      </c>
    </row>
    <row r="106" spans="1:3" x14ac:dyDescent="0.25">
      <c r="A106" s="22">
        <v>47879</v>
      </c>
      <c r="B106">
        <f t="shared" si="6"/>
        <v>1</v>
      </c>
      <c r="C106">
        <f t="shared" si="7"/>
        <v>31</v>
      </c>
    </row>
    <row r="107" spans="1:3" x14ac:dyDescent="0.25">
      <c r="A107" s="22">
        <v>47907</v>
      </c>
      <c r="B107">
        <f t="shared" si="6"/>
        <v>2</v>
      </c>
      <c r="C107">
        <f t="shared" si="7"/>
        <v>28</v>
      </c>
    </row>
    <row r="108" spans="1:3" x14ac:dyDescent="0.25">
      <c r="A108" s="22">
        <v>47938</v>
      </c>
      <c r="B108">
        <f t="shared" si="6"/>
        <v>3</v>
      </c>
      <c r="C108">
        <f t="shared" si="7"/>
        <v>31</v>
      </c>
    </row>
    <row r="109" spans="1:3" x14ac:dyDescent="0.25">
      <c r="A109" s="22">
        <v>47968</v>
      </c>
      <c r="B109">
        <f t="shared" si="6"/>
        <v>4</v>
      </c>
      <c r="C109">
        <f t="shared" si="7"/>
        <v>30</v>
      </c>
    </row>
    <row r="110" spans="1:3" x14ac:dyDescent="0.25">
      <c r="A110" s="22"/>
    </row>
    <row r="111" spans="1:3" x14ac:dyDescent="0.25">
      <c r="A111" s="22"/>
    </row>
    <row r="112" spans="1:3"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39"/>
  <sheetViews>
    <sheetView showGridLines="0" tabSelected="1" zoomScaleNormal="100" workbookViewId="0">
      <pane ySplit="2" topLeftCell="A3" activePane="bottomLeft" state="frozen"/>
      <selection pane="bottomLeft" activeCell="F9" sqref="F9"/>
    </sheetView>
  </sheetViews>
  <sheetFormatPr defaultColWidth="0" defaultRowHeight="12.5" zeroHeight="1" x14ac:dyDescent="0.25"/>
  <cols>
    <col min="1" max="1" width="11.26953125" style="191" customWidth="1"/>
    <col min="2" max="3" width="11.26953125" style="129" customWidth="1"/>
    <col min="4" max="4" width="9.1796875" style="129" customWidth="1"/>
    <col min="5" max="5" width="10.1796875" style="129" customWidth="1"/>
    <col min="6" max="6" width="24.81640625" style="129" customWidth="1"/>
    <col min="7" max="11" width="10" style="129" customWidth="1"/>
    <col min="12" max="12" width="8.54296875" style="129" customWidth="1"/>
    <col min="13" max="13" width="3.7265625" style="176" customWidth="1"/>
    <col min="14" max="16384" width="9.1796875" hidden="1"/>
  </cols>
  <sheetData>
    <row r="1" spans="1:13" s="16" customFormat="1" ht="37.5" customHeight="1" x14ac:dyDescent="0.25">
      <c r="A1" s="127" t="s">
        <v>21</v>
      </c>
      <c r="B1" s="218"/>
      <c r="C1" s="218"/>
      <c r="D1" s="218"/>
      <c r="E1" s="218"/>
      <c r="F1" s="218"/>
      <c r="G1" s="218"/>
      <c r="H1" s="218"/>
      <c r="I1" s="218"/>
      <c r="J1" s="218"/>
      <c r="K1" s="218"/>
      <c r="L1" s="218"/>
      <c r="M1" s="219"/>
    </row>
    <row r="2" spans="1:13" s="17" customFormat="1" ht="18" customHeight="1" thickBot="1" x14ac:dyDescent="0.4">
      <c r="A2" s="241"/>
      <c r="B2" s="242"/>
      <c r="C2" s="242"/>
      <c r="D2" s="242"/>
      <c r="E2" s="242"/>
      <c r="F2" s="242"/>
      <c r="G2" s="242"/>
      <c r="H2" s="242"/>
      <c r="I2" s="242"/>
      <c r="J2" s="242"/>
      <c r="K2" s="242"/>
      <c r="L2" s="243"/>
      <c r="M2" s="244"/>
    </row>
    <row r="3" spans="1:13" s="16" customFormat="1" ht="12.75" customHeight="1" x14ac:dyDescent="0.3">
      <c r="A3" s="234" t="s">
        <v>97</v>
      </c>
      <c r="B3" s="227"/>
      <c r="C3" s="227"/>
      <c r="D3" s="235"/>
      <c r="E3" s="235"/>
      <c r="F3" s="235"/>
      <c r="G3" s="235"/>
      <c r="H3" s="235"/>
      <c r="I3" s="235"/>
      <c r="J3" s="229"/>
      <c r="K3" s="229"/>
      <c r="L3" s="236"/>
      <c r="M3" s="130"/>
    </row>
    <row r="4" spans="1:13" s="16" customFormat="1" ht="12.75" customHeight="1" x14ac:dyDescent="0.3">
      <c r="A4" s="220" t="s">
        <v>91</v>
      </c>
      <c r="B4" s="214"/>
      <c r="C4" s="214"/>
      <c r="D4" s="215"/>
      <c r="E4" s="215"/>
      <c r="F4" s="215"/>
      <c r="G4" s="215"/>
      <c r="H4" s="215"/>
      <c r="I4" s="215"/>
      <c r="J4" s="216"/>
      <c r="K4" s="216"/>
      <c r="L4" s="217"/>
      <c r="M4" s="221"/>
    </row>
    <row r="5" spans="1:13" s="16" customFormat="1" ht="12.75" customHeight="1" thickBot="1" x14ac:dyDescent="0.35">
      <c r="A5" s="237" t="s">
        <v>92</v>
      </c>
      <c r="B5" s="233"/>
      <c r="C5" s="233"/>
      <c r="D5" s="238"/>
      <c r="E5" s="238"/>
      <c r="F5" s="238"/>
      <c r="G5" s="238"/>
      <c r="H5" s="238"/>
      <c r="I5" s="238"/>
      <c r="J5" s="239"/>
      <c r="K5" s="239"/>
      <c r="L5" s="240"/>
      <c r="M5" s="232"/>
    </row>
    <row r="6" spans="1:13" s="16" customFormat="1" ht="12.75" customHeight="1" x14ac:dyDescent="0.3">
      <c r="A6" s="222"/>
      <c r="B6" s="115"/>
      <c r="C6" s="114"/>
      <c r="D6" s="115"/>
      <c r="E6" s="115"/>
      <c r="F6" s="115"/>
      <c r="G6" s="115"/>
      <c r="H6" s="115"/>
      <c r="I6" s="115"/>
      <c r="J6" s="120"/>
      <c r="K6" s="120"/>
      <c r="L6" s="121"/>
      <c r="M6" s="132"/>
    </row>
    <row r="7" spans="1:13" s="16" customFormat="1" ht="16.5" customHeight="1" x14ac:dyDescent="0.4">
      <c r="A7" s="222"/>
      <c r="B7" s="114"/>
      <c r="C7" s="115"/>
      <c r="D7" s="115"/>
      <c r="E7" s="115"/>
      <c r="F7" s="122" t="s">
        <v>59</v>
      </c>
      <c r="G7" s="115"/>
      <c r="H7" s="115"/>
      <c r="I7" s="115"/>
      <c r="J7" s="120"/>
      <c r="K7" s="120"/>
      <c r="L7" s="121"/>
      <c r="M7" s="132"/>
    </row>
    <row r="8" spans="1:13" s="16" customFormat="1" ht="13" thickBot="1" x14ac:dyDescent="0.3">
      <c r="A8" s="222"/>
      <c r="B8" s="114"/>
      <c r="C8" s="114"/>
      <c r="D8" s="114"/>
      <c r="E8" s="114"/>
      <c r="F8" s="123"/>
      <c r="G8" s="114"/>
      <c r="H8" s="114"/>
      <c r="I8" s="114"/>
      <c r="J8" s="120"/>
      <c r="K8" s="120"/>
      <c r="L8" s="121"/>
      <c r="M8" s="132"/>
    </row>
    <row r="9" spans="1:13" s="16" customFormat="1" ht="14.5" thickBot="1" x14ac:dyDescent="0.35">
      <c r="A9" s="222"/>
      <c r="B9" s="114"/>
      <c r="C9" s="114"/>
      <c r="D9" s="114"/>
      <c r="E9" s="118" t="s">
        <v>27</v>
      </c>
      <c r="F9" s="21">
        <v>45412</v>
      </c>
      <c r="G9" s="114"/>
      <c r="H9" s="114"/>
      <c r="I9" s="114"/>
      <c r="J9" s="120"/>
      <c r="K9" s="120"/>
      <c r="L9" s="121"/>
      <c r="M9" s="132"/>
    </row>
    <row r="10" spans="1:13" s="16" customFormat="1" ht="14.5" thickBot="1" x14ac:dyDescent="0.35">
      <c r="A10" s="222"/>
      <c r="B10" s="114"/>
      <c r="C10" s="116"/>
      <c r="D10" s="117"/>
      <c r="E10" s="116" t="s">
        <v>108</v>
      </c>
      <c r="F10" s="18">
        <v>1000000</v>
      </c>
      <c r="G10" s="114" t="s">
        <v>22</v>
      </c>
      <c r="H10" s="114"/>
      <c r="I10" s="114"/>
      <c r="J10" s="120"/>
      <c r="K10" s="120"/>
      <c r="L10" s="121"/>
      <c r="M10" s="132"/>
    </row>
    <row r="11" spans="1:13" s="16" customFormat="1" ht="15" customHeight="1" thickBot="1" x14ac:dyDescent="0.35">
      <c r="A11" s="222"/>
      <c r="B11" s="114"/>
      <c r="C11" s="114"/>
      <c r="D11" s="114"/>
      <c r="E11" s="118" t="str">
        <f>CONCATENATE("Number of cows in herd at start of ",TEXT(F9,"mmm-yy"),"   ")</f>
        <v xml:space="preserve">Number of cows in herd at start of Apr-24   </v>
      </c>
      <c r="F11" s="18">
        <v>156</v>
      </c>
      <c r="G11" s="114" t="s">
        <v>50</v>
      </c>
      <c r="H11" s="114"/>
      <c r="I11" s="114"/>
      <c r="J11" s="120"/>
      <c r="K11" s="120"/>
      <c r="L11" s="121"/>
      <c r="M11" s="132"/>
    </row>
    <row r="12" spans="1:13" s="16" customFormat="1" ht="15" customHeight="1" thickBot="1" x14ac:dyDescent="0.35">
      <c r="A12" s="222"/>
      <c r="B12" s="114"/>
      <c r="C12" s="114"/>
      <c r="D12" s="114"/>
      <c r="E12" s="118" t="s">
        <v>109</v>
      </c>
      <c r="F12" s="18">
        <v>365</v>
      </c>
      <c r="G12" s="114" t="s">
        <v>49</v>
      </c>
      <c r="H12" s="114"/>
      <c r="I12" s="114"/>
      <c r="J12" s="120"/>
      <c r="K12" s="120"/>
      <c r="L12" s="121"/>
      <c r="M12" s="132"/>
    </row>
    <row r="13" spans="1:13" s="16" customFormat="1" ht="15" customHeight="1" thickBot="1" x14ac:dyDescent="0.35">
      <c r="A13" s="222"/>
      <c r="B13" s="114"/>
      <c r="C13" s="114"/>
      <c r="D13" s="114"/>
      <c r="E13" s="118" t="s">
        <v>121</v>
      </c>
      <c r="F13" s="18">
        <v>60</v>
      </c>
      <c r="G13" s="114" t="s">
        <v>49</v>
      </c>
      <c r="H13" s="114"/>
      <c r="I13" s="114"/>
      <c r="J13" s="120"/>
      <c r="K13" s="120"/>
      <c r="L13" s="121"/>
      <c r="M13" s="132"/>
    </row>
    <row r="14" spans="1:13" s="16" customFormat="1" ht="15" customHeight="1" thickBot="1" x14ac:dyDescent="0.35">
      <c r="A14" s="222"/>
      <c r="B14" s="114"/>
      <c r="C14" s="114"/>
      <c r="D14" s="114"/>
      <c r="E14" s="118" t="s">
        <v>48</v>
      </c>
      <c r="F14" s="19" t="s">
        <v>19</v>
      </c>
      <c r="G14" s="114"/>
      <c r="H14" s="114"/>
      <c r="I14" s="114"/>
      <c r="J14" s="120"/>
      <c r="K14" s="120"/>
      <c r="L14" s="121"/>
      <c r="M14" s="132"/>
    </row>
    <row r="15" spans="1:13" s="16" customFormat="1" ht="15" customHeight="1" thickBot="1" x14ac:dyDescent="0.35">
      <c r="A15" s="222"/>
      <c r="B15" s="114"/>
      <c r="C15" s="114"/>
      <c r="D15" s="114"/>
      <c r="E15" s="118" t="s">
        <v>123</v>
      </c>
      <c r="F15" s="263">
        <v>0.85</v>
      </c>
      <c r="G15" s="114" t="s">
        <v>26</v>
      </c>
      <c r="H15" s="114"/>
      <c r="I15" s="114"/>
      <c r="J15" s="120"/>
      <c r="K15" s="120"/>
      <c r="L15" s="124"/>
      <c r="M15" s="132"/>
    </row>
    <row r="16" spans="1:13" s="16" customFormat="1" ht="15" customHeight="1" x14ac:dyDescent="0.25">
      <c r="A16" s="222"/>
      <c r="B16" s="114"/>
      <c r="C16" s="114"/>
      <c r="D16" s="114"/>
      <c r="E16" s="114"/>
      <c r="F16" s="114"/>
      <c r="G16" s="114"/>
      <c r="H16" s="114"/>
      <c r="I16" s="114"/>
      <c r="J16" s="120"/>
      <c r="K16" s="120"/>
      <c r="L16" s="124"/>
      <c r="M16" s="132"/>
    </row>
    <row r="17" spans="1:13" s="16" customFormat="1" ht="15" customHeight="1" thickBot="1" x14ac:dyDescent="0.4">
      <c r="A17" s="222"/>
      <c r="B17" s="114"/>
      <c r="C17" s="114"/>
      <c r="D17" s="114"/>
      <c r="E17" s="116" t="s">
        <v>111</v>
      </c>
      <c r="F17" s="252">
        <f>F10/ROUND(F11*(F12-F13)/F12,0)</f>
        <v>7692.3076923076924</v>
      </c>
      <c r="G17" s="114" t="s">
        <v>22</v>
      </c>
      <c r="H17" s="114"/>
      <c r="I17" s="114"/>
      <c r="J17" s="120"/>
      <c r="K17" s="120"/>
      <c r="L17" s="125"/>
      <c r="M17" s="132"/>
    </row>
    <row r="18" spans="1:13" s="16" customFormat="1" ht="15" customHeight="1" thickBot="1" x14ac:dyDescent="0.4">
      <c r="A18" s="222"/>
      <c r="B18" s="114"/>
      <c r="C18" s="114"/>
      <c r="D18" s="114"/>
      <c r="E18" s="118" t="s">
        <v>115</v>
      </c>
      <c r="F18" s="18">
        <f>F17</f>
        <v>7692.3076923076924</v>
      </c>
      <c r="G18" s="114" t="s">
        <v>22</v>
      </c>
      <c r="H18" s="114"/>
      <c r="I18" s="114"/>
      <c r="J18" s="120"/>
      <c r="K18" s="120"/>
      <c r="L18" s="125"/>
      <c r="M18" s="132"/>
    </row>
    <row r="19" spans="1:13" s="16" customFormat="1" ht="15" customHeight="1" thickBot="1" x14ac:dyDescent="0.35">
      <c r="A19" s="222"/>
      <c r="B19" s="114"/>
      <c r="C19" s="114"/>
      <c r="D19" s="114"/>
      <c r="E19" s="116" t="s">
        <v>114</v>
      </c>
      <c r="F19" s="253">
        <v>0</v>
      </c>
      <c r="G19" s="114" t="s">
        <v>26</v>
      </c>
      <c r="H19" s="319" t="str">
        <f>CONCATENATE(F14," - ",HLOOKUP(F14,'Yields for charts'!$B$20:$Q$21,2,FALSE))</f>
        <v>Feed to yield - High Peak yield and reduce feed as milk yields fall, e.g. normal parlour feeding</v>
      </c>
      <c r="I19" s="320"/>
      <c r="J19" s="320"/>
      <c r="K19" s="320"/>
      <c r="L19" s="321"/>
      <c r="M19" s="132"/>
    </row>
    <row r="20" spans="1:13" s="16" customFormat="1" ht="17.25" customHeight="1" thickBot="1" x14ac:dyDescent="0.35">
      <c r="A20" s="222"/>
      <c r="B20" s="114"/>
      <c r="C20" s="114"/>
      <c r="D20" s="114"/>
      <c r="E20" s="116" t="s">
        <v>124</v>
      </c>
      <c r="F20" s="252">
        <f>F18*(1+F19)^3</f>
        <v>7692.3076923076924</v>
      </c>
      <c r="G20" s="114" t="s">
        <v>22</v>
      </c>
      <c r="H20" s="322"/>
      <c r="I20" s="323"/>
      <c r="J20" s="323"/>
      <c r="K20" s="323"/>
      <c r="L20" s="324"/>
      <c r="M20" s="132"/>
    </row>
    <row r="21" spans="1:13" s="16" customFormat="1" ht="15" customHeight="1" x14ac:dyDescent="0.35">
      <c r="A21" s="222"/>
      <c r="B21" s="114"/>
      <c r="C21" s="119"/>
      <c r="D21" s="119"/>
      <c r="E21" s="119"/>
      <c r="F21" s="114"/>
      <c r="G21" s="119"/>
      <c r="H21" s="114"/>
      <c r="I21" s="114"/>
      <c r="J21" s="120"/>
      <c r="K21" s="120"/>
      <c r="L21" s="126"/>
      <c r="M21" s="132"/>
    </row>
    <row r="22" spans="1:13" s="16" customFormat="1" ht="15" customHeight="1" x14ac:dyDescent="0.35">
      <c r="A22" s="223"/>
      <c r="B22" s="104"/>
      <c r="C22" s="105"/>
      <c r="D22" s="105"/>
      <c r="E22" s="105"/>
      <c r="F22" s="104"/>
      <c r="G22" s="105"/>
      <c r="H22" s="104"/>
      <c r="I22" s="104"/>
      <c r="J22" s="106"/>
      <c r="K22" s="106"/>
      <c r="L22" s="107"/>
      <c r="M22" s="140"/>
    </row>
    <row r="23" spans="1:13" s="16" customFormat="1" ht="14.25" customHeight="1" x14ac:dyDescent="0.4">
      <c r="A23" s="223"/>
      <c r="B23" s="104"/>
      <c r="C23" s="105"/>
      <c r="D23" s="105"/>
      <c r="E23" s="105"/>
      <c r="F23" s="108" t="s">
        <v>60</v>
      </c>
      <c r="G23" s="105"/>
      <c r="H23" s="104"/>
      <c r="I23" s="104"/>
      <c r="J23" s="106"/>
      <c r="K23" s="106"/>
      <c r="L23" s="107"/>
      <c r="M23" s="140"/>
    </row>
    <row r="24" spans="1:13" s="16" customFormat="1" ht="15" customHeight="1" thickBot="1" x14ac:dyDescent="0.4">
      <c r="A24" s="223"/>
      <c r="B24" s="104"/>
      <c r="C24" s="105"/>
      <c r="D24" s="104"/>
      <c r="E24" s="104"/>
      <c r="F24" s="104"/>
      <c r="G24" s="104"/>
      <c r="H24" s="105"/>
      <c r="I24" s="105"/>
      <c r="J24" s="106"/>
      <c r="K24" s="106"/>
      <c r="L24" s="107"/>
      <c r="M24" s="140"/>
    </row>
    <row r="25" spans="1:13" s="16" customFormat="1" ht="15" customHeight="1" thickBot="1" x14ac:dyDescent="0.4">
      <c r="A25" s="223"/>
      <c r="B25" s="104"/>
      <c r="C25" s="105"/>
      <c r="D25" s="113"/>
      <c r="E25" s="110" t="s">
        <v>105</v>
      </c>
      <c r="F25" s="18">
        <v>365</v>
      </c>
      <c r="G25" s="104" t="s">
        <v>49</v>
      </c>
      <c r="H25" s="105"/>
      <c r="I25" s="105"/>
      <c r="J25" s="106"/>
      <c r="K25" s="106"/>
      <c r="L25" s="107"/>
      <c r="M25" s="140"/>
    </row>
    <row r="26" spans="1:13" s="16" customFormat="1" ht="15" customHeight="1" thickBot="1" x14ac:dyDescent="0.4">
      <c r="A26" s="223"/>
      <c r="B26" s="104"/>
      <c r="C26" s="105"/>
      <c r="D26" s="113"/>
      <c r="E26" s="110" t="s">
        <v>121</v>
      </c>
      <c r="F26" s="18">
        <v>60</v>
      </c>
      <c r="G26" s="104" t="s">
        <v>49</v>
      </c>
      <c r="H26" s="105"/>
      <c r="I26" s="105"/>
      <c r="J26" s="106"/>
      <c r="K26" s="106"/>
      <c r="L26" s="107"/>
      <c r="M26" s="140"/>
    </row>
    <row r="27" spans="1:13" s="16" customFormat="1" ht="15" customHeight="1" thickBot="1" x14ac:dyDescent="0.4">
      <c r="A27" s="223"/>
      <c r="B27" s="104"/>
      <c r="C27" s="105"/>
      <c r="D27" s="104"/>
      <c r="E27" s="110" t="s">
        <v>48</v>
      </c>
      <c r="F27" s="19" t="s">
        <v>19</v>
      </c>
      <c r="G27" s="104"/>
      <c r="H27" s="105"/>
      <c r="I27" s="105"/>
      <c r="J27" s="106"/>
      <c r="K27" s="106"/>
      <c r="L27" s="107"/>
      <c r="M27" s="140"/>
    </row>
    <row r="28" spans="1:13" s="16" customFormat="1" ht="15" customHeight="1" x14ac:dyDescent="0.35">
      <c r="A28" s="223"/>
      <c r="B28" s="104"/>
      <c r="C28" s="105"/>
      <c r="D28" s="104"/>
      <c r="E28" s="110"/>
      <c r="F28" s="111"/>
      <c r="G28" s="104"/>
      <c r="H28" s="105"/>
      <c r="I28" s="105"/>
      <c r="J28" s="106"/>
      <c r="K28" s="106"/>
      <c r="L28" s="107"/>
      <c r="M28" s="140"/>
    </row>
    <row r="29" spans="1:13" s="16" customFormat="1" ht="15" customHeight="1" thickBot="1" x14ac:dyDescent="0.4">
      <c r="A29" s="223"/>
      <c r="B29" s="104"/>
      <c r="C29" s="105"/>
      <c r="D29" s="104"/>
      <c r="E29" s="110" t="s">
        <v>112</v>
      </c>
      <c r="F29" s="254">
        <f>F10/ROUND(F11*(F25-F26)/F25,0)</f>
        <v>7692.3076923076924</v>
      </c>
      <c r="G29" s="104" t="s">
        <v>22</v>
      </c>
      <c r="H29" s="105"/>
      <c r="I29" s="105"/>
      <c r="J29" s="106"/>
      <c r="K29" s="106"/>
      <c r="L29" s="107"/>
      <c r="M29" s="140"/>
    </row>
    <row r="30" spans="1:13" s="16" customFormat="1" ht="15" customHeight="1" thickBot="1" x14ac:dyDescent="0.4">
      <c r="A30" s="223"/>
      <c r="B30" s="104"/>
      <c r="C30" s="105"/>
      <c r="D30" s="104"/>
      <c r="E30" s="109" t="s">
        <v>115</v>
      </c>
      <c r="F30" s="18">
        <f>F29</f>
        <v>7692.3076923076924</v>
      </c>
      <c r="G30" s="104" t="s">
        <v>22</v>
      </c>
      <c r="H30" s="105"/>
      <c r="I30" s="105"/>
      <c r="J30" s="106"/>
      <c r="K30" s="106"/>
      <c r="L30" s="107"/>
      <c r="M30" s="140"/>
    </row>
    <row r="31" spans="1:13" s="16" customFormat="1" ht="15" customHeight="1" thickBot="1" x14ac:dyDescent="0.4">
      <c r="A31" s="223"/>
      <c r="B31" s="104"/>
      <c r="C31" s="105"/>
      <c r="D31" s="104"/>
      <c r="E31" s="109" t="s">
        <v>113</v>
      </c>
      <c r="F31" s="253">
        <v>0</v>
      </c>
      <c r="G31" s="104" t="s">
        <v>26</v>
      </c>
      <c r="H31" s="105"/>
      <c r="I31" s="105"/>
      <c r="J31" s="106"/>
      <c r="K31" s="106"/>
      <c r="L31" s="107"/>
      <c r="M31" s="140"/>
    </row>
    <row r="32" spans="1:13" s="16" customFormat="1" ht="15" customHeight="1" x14ac:dyDescent="0.35">
      <c r="A32" s="223"/>
      <c r="B32" s="104"/>
      <c r="C32" s="105"/>
      <c r="D32" s="104"/>
      <c r="E32" s="109" t="s">
        <v>124</v>
      </c>
      <c r="F32" s="254">
        <f>F30*(1+F31)^3</f>
        <v>7692.3076923076924</v>
      </c>
      <c r="G32" s="104" t="s">
        <v>22</v>
      </c>
      <c r="H32" s="105"/>
      <c r="I32" s="105"/>
      <c r="J32" s="106"/>
      <c r="K32" s="106"/>
      <c r="L32" s="107"/>
      <c r="M32" s="140"/>
    </row>
    <row r="33" spans="1:13" s="16" customFormat="1" ht="15" customHeight="1" thickBot="1" x14ac:dyDescent="0.4">
      <c r="A33" s="223"/>
      <c r="B33" s="104"/>
      <c r="C33" s="105"/>
      <c r="D33" s="104"/>
      <c r="E33" s="105"/>
      <c r="F33" s="105"/>
      <c r="G33" s="105"/>
      <c r="H33" s="105"/>
      <c r="I33" s="105"/>
      <c r="J33" s="106"/>
      <c r="K33" s="106"/>
      <c r="L33" s="107"/>
      <c r="M33" s="140"/>
    </row>
    <row r="34" spans="1:13" s="16" customFormat="1" ht="15" customHeight="1" x14ac:dyDescent="0.25">
      <c r="A34" s="223"/>
      <c r="B34" s="104"/>
      <c r="C34" s="105"/>
      <c r="D34" s="104"/>
      <c r="E34" s="105"/>
      <c r="F34" s="105"/>
      <c r="G34" s="105"/>
      <c r="H34" s="325" t="str">
        <f>CONCATENATE(F27," - ",HLOOKUP(F27,'Yields for charts'!$B$20:$Q$21,2,FALSE))</f>
        <v>Feed to yield - High Peak yield and reduce feed as milk yields fall, e.g. normal parlour feeding</v>
      </c>
      <c r="I34" s="326"/>
      <c r="J34" s="326"/>
      <c r="K34" s="326"/>
      <c r="L34" s="327"/>
      <c r="M34" s="140"/>
    </row>
    <row r="35" spans="1:13" s="16" customFormat="1" ht="15" customHeight="1" thickBot="1" x14ac:dyDescent="0.3">
      <c r="A35" s="223"/>
      <c r="B35" s="104"/>
      <c r="C35" s="105"/>
      <c r="D35" s="105"/>
      <c r="E35" s="105"/>
      <c r="F35" s="105"/>
      <c r="G35" s="105"/>
      <c r="H35" s="328"/>
      <c r="I35" s="329"/>
      <c r="J35" s="329"/>
      <c r="K35" s="329"/>
      <c r="L35" s="330"/>
      <c r="M35" s="140"/>
    </row>
    <row r="36" spans="1:13" s="16" customFormat="1" ht="15" customHeight="1" thickBot="1" x14ac:dyDescent="0.3">
      <c r="A36" s="223"/>
      <c r="B36" s="104"/>
      <c r="C36" s="105"/>
      <c r="D36" s="105"/>
      <c r="E36" s="105"/>
      <c r="F36" s="105"/>
      <c r="G36" s="105"/>
      <c r="H36" s="112"/>
      <c r="I36" s="112"/>
      <c r="J36" s="112"/>
      <c r="K36" s="112"/>
      <c r="L36" s="112"/>
      <c r="M36" s="140"/>
    </row>
    <row r="37" spans="1:13" s="227" customFormat="1" ht="15" customHeight="1" x14ac:dyDescent="0.35">
      <c r="A37" s="226" t="s">
        <v>28</v>
      </c>
      <c r="C37" s="228"/>
      <c r="D37" s="228"/>
      <c r="E37" s="228"/>
      <c r="F37" s="228"/>
      <c r="G37" s="228"/>
      <c r="H37" s="228"/>
      <c r="I37" s="228"/>
      <c r="J37" s="229"/>
      <c r="K37" s="229"/>
      <c r="L37" s="230"/>
      <c r="M37" s="130"/>
    </row>
    <row r="38" spans="1:13" s="233" customFormat="1" ht="66" customHeight="1" thickBot="1" x14ac:dyDescent="0.4">
      <c r="A38" s="317" t="s">
        <v>29</v>
      </c>
      <c r="B38" s="318"/>
      <c r="C38" s="318"/>
      <c r="D38" s="318"/>
      <c r="E38" s="318"/>
      <c r="F38" s="318"/>
      <c r="G38" s="318"/>
      <c r="H38" s="318"/>
      <c r="I38" s="318"/>
      <c r="J38" s="318"/>
      <c r="K38" s="318"/>
      <c r="L38" s="231"/>
      <c r="M38" s="232"/>
    </row>
    <row r="39" spans="1:13" hidden="1" x14ac:dyDescent="0.25">
      <c r="A39" s="224"/>
      <c r="B39" s="128"/>
      <c r="C39" s="128"/>
      <c r="D39" s="128"/>
      <c r="E39" s="128"/>
      <c r="F39" s="128"/>
      <c r="G39" s="128"/>
      <c r="H39" s="128"/>
      <c r="I39" s="128"/>
      <c r="J39" s="128"/>
      <c r="K39" s="128"/>
      <c r="L39" s="128"/>
      <c r="M39" s="225"/>
    </row>
  </sheetData>
  <mergeCells count="3">
    <mergeCell ref="A38:K38"/>
    <mergeCell ref="H19:L20"/>
    <mergeCell ref="H34:L35"/>
  </mergeCells>
  <dataValidations count="2">
    <dataValidation type="whole" allowBlank="1" showErrorMessage="1" sqref="F12 F25" xr:uid="{00000000-0002-0000-0100-000000000000}">
      <formula1>200</formula1>
      <formula2>500</formula2>
    </dataValidation>
    <dataValidation type="whole" allowBlank="1" showErrorMessage="1" sqref="F13 F26" xr:uid="{00000000-0002-0000-0100-000001000000}">
      <formula1>20</formula1>
      <formula2>100</formula2>
    </dataValidation>
  </dataValidations>
  <printOptions horizontalCentered="1"/>
  <pageMargins left="0.51181102362204722" right="0.51181102362204722" top="0.74803149606299213" bottom="0.55118110236220474" header="0.31496062992125984" footer="0.31496062992125984"/>
  <pageSetup paperSize="9" scale="83" orientation="landscape" r:id="rId1"/>
  <ignoredErrors>
    <ignoredError sqref="F18 F20"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Lists!$A$2:$A$9</xm:f>
          </x14:formula1>
          <xm:sqref>F27 F14</xm:sqref>
        </x14:dataValidation>
        <x14:dataValidation type="list" allowBlank="1" showInputMessage="1" showErrorMessage="1" xr:uid="{00000000-0002-0000-0100-000002000000}">
          <x14:formula1>
            <xm:f>Lists!$A$13:$A$109</xm:f>
          </x14:formula1>
          <xm:sqref>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6"/>
  <sheetViews>
    <sheetView zoomScale="90" zoomScaleNormal="90" workbookViewId="0">
      <pane xSplit="2" ySplit="4" topLeftCell="C32" activePane="bottomRight" state="frozen"/>
      <selection pane="topRight" activeCell="B1" sqref="B1"/>
      <selection pane="bottomLeft" activeCell="A3" sqref="A3"/>
      <selection pane="bottomRight" activeCell="C5" sqref="C5"/>
    </sheetView>
  </sheetViews>
  <sheetFormatPr defaultColWidth="0" defaultRowHeight="18" zeroHeight="1" x14ac:dyDescent="0.4"/>
  <cols>
    <col min="1" max="1" width="4.54296875" style="213" customWidth="1"/>
    <col min="2" max="2" width="11.1796875" style="20" customWidth="1"/>
    <col min="3" max="12" width="14.54296875" style="55" customWidth="1"/>
    <col min="13" max="14" width="0" style="20" hidden="1" customWidth="1"/>
    <col min="15" max="16384" width="9.1796875" style="20" hidden="1"/>
  </cols>
  <sheetData>
    <row r="1" spans="1:12" ht="35.5" thickBot="1" x14ac:dyDescent="0.45">
      <c r="A1" s="141"/>
      <c r="B1" s="142"/>
      <c r="C1" s="264" t="s">
        <v>21</v>
      </c>
      <c r="D1" s="147"/>
      <c r="E1" s="147"/>
      <c r="F1" s="147"/>
      <c r="G1" s="148"/>
      <c r="H1" s="264" t="s">
        <v>21</v>
      </c>
      <c r="I1" s="149"/>
      <c r="J1" s="149"/>
      <c r="K1" s="149"/>
      <c r="L1" s="150"/>
    </row>
    <row r="2" spans="1:12" ht="23" x14ac:dyDescent="0.5">
      <c r="A2" s="143"/>
      <c r="C2" s="333" t="s">
        <v>59</v>
      </c>
      <c r="D2" s="334"/>
      <c r="E2" s="334"/>
      <c r="F2" s="334"/>
      <c r="G2" s="335"/>
      <c r="H2" s="336" t="s">
        <v>60</v>
      </c>
      <c r="I2" s="337"/>
      <c r="J2" s="337"/>
      <c r="K2" s="337"/>
      <c r="L2" s="338"/>
    </row>
    <row r="3" spans="1:12" ht="36" x14ac:dyDescent="0.4">
      <c r="A3" s="143"/>
      <c r="B3" s="144" t="s">
        <v>25</v>
      </c>
      <c r="C3" s="151" t="s">
        <v>53</v>
      </c>
      <c r="D3" s="152" t="s">
        <v>54</v>
      </c>
      <c r="E3" s="152" t="s">
        <v>55</v>
      </c>
      <c r="F3" s="152" t="s">
        <v>130</v>
      </c>
      <c r="G3" s="153" t="s">
        <v>57</v>
      </c>
      <c r="H3" s="71" t="s">
        <v>53</v>
      </c>
      <c r="I3" s="72" t="s">
        <v>54</v>
      </c>
      <c r="J3" s="72" t="s">
        <v>55</v>
      </c>
      <c r="K3" s="72" t="s">
        <v>130</v>
      </c>
      <c r="L3" s="73" t="s">
        <v>57</v>
      </c>
    </row>
    <row r="4" spans="1:12" ht="72.5" thickBot="1" x14ac:dyDescent="0.45">
      <c r="A4" s="145"/>
      <c r="B4" s="146"/>
      <c r="C4" s="151" t="s">
        <v>58</v>
      </c>
      <c r="D4" s="152" t="s">
        <v>58</v>
      </c>
      <c r="E4" s="154" t="s">
        <v>56</v>
      </c>
      <c r="F4" s="154" t="s">
        <v>149</v>
      </c>
      <c r="G4" s="155" t="s">
        <v>151</v>
      </c>
      <c r="H4" s="74" t="s">
        <v>58</v>
      </c>
      <c r="I4" s="75" t="s">
        <v>58</v>
      </c>
      <c r="J4" s="75" t="s">
        <v>56</v>
      </c>
      <c r="K4" s="75" t="s">
        <v>149</v>
      </c>
      <c r="L4" s="76" t="s">
        <v>151</v>
      </c>
    </row>
    <row r="5" spans="1:12" ht="17.5" x14ac:dyDescent="0.35">
      <c r="A5" s="332" t="s">
        <v>73</v>
      </c>
      <c r="B5" s="207">
        <f t="shared" ref="B5:B15" si="0">EOMONTH(B6,-1)</f>
        <v>45046</v>
      </c>
      <c r="C5" s="102">
        <v>3</v>
      </c>
      <c r="D5" s="102">
        <v>10</v>
      </c>
      <c r="E5" s="156"/>
      <c r="F5" s="156"/>
      <c r="G5" s="157"/>
      <c r="H5" s="102">
        <v>3</v>
      </c>
      <c r="I5" s="102">
        <v>10</v>
      </c>
      <c r="J5" s="77"/>
      <c r="K5" s="77"/>
      <c r="L5" s="78"/>
    </row>
    <row r="6" spans="1:12" ht="17.5" x14ac:dyDescent="0.35">
      <c r="A6" s="332"/>
      <c r="B6" s="207">
        <f t="shared" si="0"/>
        <v>45077</v>
      </c>
      <c r="C6" s="102">
        <f>C5</f>
        <v>3</v>
      </c>
      <c r="D6" s="102">
        <f>D5</f>
        <v>10</v>
      </c>
      <c r="E6" s="156"/>
      <c r="F6" s="156"/>
      <c r="G6" s="158"/>
      <c r="H6" s="102">
        <f>H5</f>
        <v>3</v>
      </c>
      <c r="I6" s="102">
        <f>I5</f>
        <v>10</v>
      </c>
      <c r="J6" s="79"/>
      <c r="K6" s="79"/>
      <c r="L6" s="80"/>
    </row>
    <row r="7" spans="1:12" ht="17.5" x14ac:dyDescent="0.35">
      <c r="A7" s="332"/>
      <c r="B7" s="207">
        <f t="shared" si="0"/>
        <v>45107</v>
      </c>
      <c r="C7" s="102">
        <f t="shared" ref="C7:D16" si="1">C6</f>
        <v>3</v>
      </c>
      <c r="D7" s="102">
        <f t="shared" si="1"/>
        <v>10</v>
      </c>
      <c r="E7" s="156"/>
      <c r="F7" s="156"/>
      <c r="G7" s="158"/>
      <c r="H7" s="102">
        <f t="shared" ref="H7:I16" si="2">H6</f>
        <v>3</v>
      </c>
      <c r="I7" s="102">
        <f t="shared" si="2"/>
        <v>10</v>
      </c>
      <c r="J7" s="79"/>
      <c r="K7" s="79"/>
      <c r="L7" s="80"/>
    </row>
    <row r="8" spans="1:12" ht="17.5" x14ac:dyDescent="0.35">
      <c r="A8" s="332"/>
      <c r="B8" s="207">
        <f t="shared" si="0"/>
        <v>45138</v>
      </c>
      <c r="C8" s="102">
        <f t="shared" si="1"/>
        <v>3</v>
      </c>
      <c r="D8" s="102">
        <f t="shared" si="1"/>
        <v>10</v>
      </c>
      <c r="E8" s="156"/>
      <c r="F8" s="156"/>
      <c r="G8" s="158"/>
      <c r="H8" s="102">
        <f t="shared" si="2"/>
        <v>3</v>
      </c>
      <c r="I8" s="102">
        <f t="shared" si="2"/>
        <v>10</v>
      </c>
      <c r="J8" s="79"/>
      <c r="K8" s="79"/>
      <c r="L8" s="80"/>
    </row>
    <row r="9" spans="1:12" ht="17.5" x14ac:dyDescent="0.35">
      <c r="A9" s="332"/>
      <c r="B9" s="207">
        <f t="shared" si="0"/>
        <v>45169</v>
      </c>
      <c r="C9" s="102">
        <f t="shared" si="1"/>
        <v>3</v>
      </c>
      <c r="D9" s="102">
        <f t="shared" si="1"/>
        <v>10</v>
      </c>
      <c r="E9" s="156"/>
      <c r="F9" s="156"/>
      <c r="G9" s="158"/>
      <c r="H9" s="102">
        <f t="shared" si="2"/>
        <v>3</v>
      </c>
      <c r="I9" s="102">
        <f t="shared" si="2"/>
        <v>10</v>
      </c>
      <c r="J9" s="79"/>
      <c r="K9" s="79"/>
      <c r="L9" s="80"/>
    </row>
    <row r="10" spans="1:12" ht="17.5" x14ac:dyDescent="0.35">
      <c r="A10" s="332"/>
      <c r="B10" s="207">
        <f t="shared" si="0"/>
        <v>45199</v>
      </c>
      <c r="C10" s="102">
        <f t="shared" si="1"/>
        <v>3</v>
      </c>
      <c r="D10" s="102">
        <f t="shared" si="1"/>
        <v>10</v>
      </c>
      <c r="E10" s="156"/>
      <c r="F10" s="156"/>
      <c r="G10" s="158"/>
      <c r="H10" s="102">
        <f t="shared" si="2"/>
        <v>3</v>
      </c>
      <c r="I10" s="102">
        <f t="shared" si="2"/>
        <v>10</v>
      </c>
      <c r="J10" s="79"/>
      <c r="K10" s="79"/>
      <c r="L10" s="80"/>
    </row>
    <row r="11" spans="1:12" ht="17.5" x14ac:dyDescent="0.35">
      <c r="A11" s="332"/>
      <c r="B11" s="207">
        <f t="shared" si="0"/>
        <v>45230</v>
      </c>
      <c r="C11" s="102">
        <f t="shared" si="1"/>
        <v>3</v>
      </c>
      <c r="D11" s="102">
        <f t="shared" si="1"/>
        <v>10</v>
      </c>
      <c r="E11" s="156"/>
      <c r="F11" s="156"/>
      <c r="G11" s="158"/>
      <c r="H11" s="102">
        <f t="shared" si="2"/>
        <v>3</v>
      </c>
      <c r="I11" s="102">
        <f t="shared" si="2"/>
        <v>10</v>
      </c>
      <c r="J11" s="79"/>
      <c r="K11" s="79"/>
      <c r="L11" s="80"/>
    </row>
    <row r="12" spans="1:12" ht="17.5" x14ac:dyDescent="0.35">
      <c r="A12" s="332"/>
      <c r="B12" s="207">
        <f t="shared" si="0"/>
        <v>45260</v>
      </c>
      <c r="C12" s="102">
        <f t="shared" si="1"/>
        <v>3</v>
      </c>
      <c r="D12" s="102">
        <f t="shared" si="1"/>
        <v>10</v>
      </c>
      <c r="E12" s="156"/>
      <c r="F12" s="156"/>
      <c r="G12" s="158"/>
      <c r="H12" s="102">
        <f t="shared" si="2"/>
        <v>3</v>
      </c>
      <c r="I12" s="102">
        <f t="shared" si="2"/>
        <v>10</v>
      </c>
      <c r="J12" s="79"/>
      <c r="K12" s="79"/>
      <c r="L12" s="80"/>
    </row>
    <row r="13" spans="1:12" ht="17.5" x14ac:dyDescent="0.35">
      <c r="A13" s="332"/>
      <c r="B13" s="207">
        <f t="shared" si="0"/>
        <v>45291</v>
      </c>
      <c r="C13" s="102">
        <f t="shared" si="1"/>
        <v>3</v>
      </c>
      <c r="D13" s="102">
        <f t="shared" si="1"/>
        <v>10</v>
      </c>
      <c r="E13" s="156"/>
      <c r="F13" s="156"/>
      <c r="G13" s="158"/>
      <c r="H13" s="102">
        <f t="shared" si="2"/>
        <v>3</v>
      </c>
      <c r="I13" s="102">
        <f t="shared" si="2"/>
        <v>10</v>
      </c>
      <c r="J13" s="79"/>
      <c r="K13" s="79"/>
      <c r="L13" s="80"/>
    </row>
    <row r="14" spans="1:12" ht="17.5" x14ac:dyDescent="0.35">
      <c r="A14" s="332"/>
      <c r="B14" s="207">
        <f t="shared" si="0"/>
        <v>45322</v>
      </c>
      <c r="C14" s="102">
        <f t="shared" si="1"/>
        <v>3</v>
      </c>
      <c r="D14" s="102">
        <f t="shared" si="1"/>
        <v>10</v>
      </c>
      <c r="E14" s="156"/>
      <c r="F14" s="156"/>
      <c r="G14" s="158"/>
      <c r="H14" s="102">
        <f t="shared" si="2"/>
        <v>3</v>
      </c>
      <c r="I14" s="102">
        <f t="shared" si="2"/>
        <v>10</v>
      </c>
      <c r="J14" s="79"/>
      <c r="K14" s="79"/>
      <c r="L14" s="80"/>
    </row>
    <row r="15" spans="1:12" ht="17.5" x14ac:dyDescent="0.35">
      <c r="A15" s="332"/>
      <c r="B15" s="207">
        <f t="shared" si="0"/>
        <v>45351</v>
      </c>
      <c r="C15" s="102">
        <f t="shared" si="1"/>
        <v>3</v>
      </c>
      <c r="D15" s="102">
        <f t="shared" si="1"/>
        <v>10</v>
      </c>
      <c r="E15" s="156"/>
      <c r="F15" s="156"/>
      <c r="G15" s="158"/>
      <c r="H15" s="102">
        <f t="shared" si="2"/>
        <v>3</v>
      </c>
      <c r="I15" s="102">
        <f t="shared" si="2"/>
        <v>10</v>
      </c>
      <c r="J15" s="79"/>
      <c r="K15" s="79"/>
      <c r="L15" s="80"/>
    </row>
    <row r="16" spans="1:12" thickBot="1" x14ac:dyDescent="0.4">
      <c r="A16" s="332"/>
      <c r="B16" s="208">
        <f>EOMONTH(B18,-1)</f>
        <v>45382</v>
      </c>
      <c r="C16" s="102">
        <f t="shared" si="1"/>
        <v>3</v>
      </c>
      <c r="D16" s="102">
        <f t="shared" si="1"/>
        <v>10</v>
      </c>
      <c r="E16" s="156"/>
      <c r="F16" s="156"/>
      <c r="G16" s="158"/>
      <c r="H16" s="102">
        <f t="shared" si="2"/>
        <v>3</v>
      </c>
      <c r="I16" s="102">
        <f t="shared" si="2"/>
        <v>10</v>
      </c>
      <c r="J16" s="79"/>
      <c r="K16" s="79"/>
      <c r="L16" s="80"/>
    </row>
    <row r="17" spans="1:12" ht="18.5" thickBot="1" x14ac:dyDescent="0.45">
      <c r="A17" s="209"/>
      <c r="B17" s="210" t="s">
        <v>71</v>
      </c>
      <c r="C17" s="160">
        <f>SUM(C5:C16)</f>
        <v>36</v>
      </c>
      <c r="D17" s="160">
        <f>SUM(D5:D16)</f>
        <v>120</v>
      </c>
      <c r="E17" s="156"/>
      <c r="F17" s="156"/>
      <c r="G17" s="159"/>
      <c r="H17" s="103">
        <f>SUM(H5:H16)</f>
        <v>36</v>
      </c>
      <c r="I17" s="81">
        <f>SUM(I5:I16)</f>
        <v>120</v>
      </c>
      <c r="J17" s="79"/>
      <c r="K17" s="79"/>
      <c r="L17" s="80"/>
    </row>
    <row r="18" spans="1:12" ht="17.5" x14ac:dyDescent="0.35">
      <c r="A18" s="331" t="s">
        <v>74</v>
      </c>
      <c r="B18" s="211">
        <f>Input!F9</f>
        <v>45412</v>
      </c>
      <c r="C18" s="102">
        <f>C5</f>
        <v>3</v>
      </c>
      <c r="D18" s="102">
        <f t="shared" ref="D18:D29" si="3">D5</f>
        <v>10</v>
      </c>
      <c r="E18" s="34">
        <v>28</v>
      </c>
      <c r="F18" s="265">
        <v>0.2</v>
      </c>
      <c r="G18" s="1">
        <v>7.4</v>
      </c>
      <c r="H18" s="102">
        <v>3</v>
      </c>
      <c r="I18" s="102">
        <v>10</v>
      </c>
      <c r="J18" s="34">
        <v>28</v>
      </c>
      <c r="K18" s="265">
        <v>0.2</v>
      </c>
      <c r="L18" s="1">
        <v>7.4</v>
      </c>
    </row>
    <row r="19" spans="1:12" ht="17.5" x14ac:dyDescent="0.35">
      <c r="A19" s="332"/>
      <c r="B19" s="207">
        <f>EOMONTH(B18,1)</f>
        <v>45443</v>
      </c>
      <c r="C19" s="102">
        <f t="shared" ref="C19:C29" si="4">C6</f>
        <v>3</v>
      </c>
      <c r="D19" s="102">
        <f t="shared" si="3"/>
        <v>10</v>
      </c>
      <c r="E19" s="34">
        <f>E18</f>
        <v>28</v>
      </c>
      <c r="F19" s="265">
        <f>F18</f>
        <v>0.2</v>
      </c>
      <c r="G19" s="1">
        <f>G18</f>
        <v>7.4</v>
      </c>
      <c r="H19" s="102">
        <v>3</v>
      </c>
      <c r="I19" s="102">
        <v>10</v>
      </c>
      <c r="J19" s="34">
        <v>28</v>
      </c>
      <c r="K19" s="265">
        <v>0.2</v>
      </c>
      <c r="L19" s="1">
        <v>7.4</v>
      </c>
    </row>
    <row r="20" spans="1:12" ht="17.5" x14ac:dyDescent="0.35">
      <c r="A20" s="332"/>
      <c r="B20" s="207">
        <f t="shared" ref="B20:B29" si="5">EOMONTH(B19,1)</f>
        <v>45473</v>
      </c>
      <c r="C20" s="102">
        <f t="shared" si="4"/>
        <v>3</v>
      </c>
      <c r="D20" s="102">
        <f t="shared" si="3"/>
        <v>10</v>
      </c>
      <c r="E20" s="34">
        <f t="shared" ref="E20:G29" si="6">E19</f>
        <v>28</v>
      </c>
      <c r="F20" s="265">
        <f t="shared" si="6"/>
        <v>0.2</v>
      </c>
      <c r="G20" s="1">
        <f t="shared" si="6"/>
        <v>7.4</v>
      </c>
      <c r="H20" s="102">
        <v>3</v>
      </c>
      <c r="I20" s="102">
        <v>10</v>
      </c>
      <c r="J20" s="34">
        <v>28</v>
      </c>
      <c r="K20" s="265">
        <v>0.2</v>
      </c>
      <c r="L20" s="1">
        <v>7.4</v>
      </c>
    </row>
    <row r="21" spans="1:12" ht="17.5" x14ac:dyDescent="0.35">
      <c r="A21" s="332"/>
      <c r="B21" s="207">
        <f t="shared" si="5"/>
        <v>45504</v>
      </c>
      <c r="C21" s="102">
        <f t="shared" si="4"/>
        <v>3</v>
      </c>
      <c r="D21" s="102">
        <f t="shared" si="3"/>
        <v>10</v>
      </c>
      <c r="E21" s="34">
        <f t="shared" si="6"/>
        <v>28</v>
      </c>
      <c r="F21" s="265">
        <f t="shared" si="6"/>
        <v>0.2</v>
      </c>
      <c r="G21" s="1">
        <f t="shared" si="6"/>
        <v>7.4</v>
      </c>
      <c r="H21" s="102">
        <v>3</v>
      </c>
      <c r="I21" s="102">
        <v>10</v>
      </c>
      <c r="J21" s="34">
        <v>28</v>
      </c>
      <c r="K21" s="265">
        <v>0.2</v>
      </c>
      <c r="L21" s="1">
        <v>7.4</v>
      </c>
    </row>
    <row r="22" spans="1:12" ht="17.5" x14ac:dyDescent="0.35">
      <c r="A22" s="332"/>
      <c r="B22" s="207">
        <f t="shared" si="5"/>
        <v>45535</v>
      </c>
      <c r="C22" s="102">
        <f t="shared" si="4"/>
        <v>3</v>
      </c>
      <c r="D22" s="102">
        <f t="shared" si="3"/>
        <v>10</v>
      </c>
      <c r="E22" s="34">
        <f t="shared" si="6"/>
        <v>28</v>
      </c>
      <c r="F22" s="265">
        <f t="shared" si="6"/>
        <v>0.2</v>
      </c>
      <c r="G22" s="1">
        <f t="shared" si="6"/>
        <v>7.4</v>
      </c>
      <c r="H22" s="102">
        <v>3</v>
      </c>
      <c r="I22" s="102">
        <v>10</v>
      </c>
      <c r="J22" s="34">
        <v>28</v>
      </c>
      <c r="K22" s="265">
        <v>0.2</v>
      </c>
      <c r="L22" s="1">
        <v>7.4</v>
      </c>
    </row>
    <row r="23" spans="1:12" ht="17.5" x14ac:dyDescent="0.35">
      <c r="A23" s="332"/>
      <c r="B23" s="207">
        <f t="shared" si="5"/>
        <v>45565</v>
      </c>
      <c r="C23" s="102">
        <f t="shared" si="4"/>
        <v>3</v>
      </c>
      <c r="D23" s="102">
        <f t="shared" si="3"/>
        <v>10</v>
      </c>
      <c r="E23" s="34">
        <f t="shared" si="6"/>
        <v>28</v>
      </c>
      <c r="F23" s="265">
        <f t="shared" si="6"/>
        <v>0.2</v>
      </c>
      <c r="G23" s="1">
        <f t="shared" si="6"/>
        <v>7.4</v>
      </c>
      <c r="H23" s="102">
        <v>3</v>
      </c>
      <c r="I23" s="102">
        <v>10</v>
      </c>
      <c r="J23" s="34">
        <v>28</v>
      </c>
      <c r="K23" s="265">
        <v>0.2</v>
      </c>
      <c r="L23" s="1">
        <v>7.4</v>
      </c>
    </row>
    <row r="24" spans="1:12" ht="17.5" x14ac:dyDescent="0.35">
      <c r="A24" s="332"/>
      <c r="B24" s="207">
        <f t="shared" si="5"/>
        <v>45596</v>
      </c>
      <c r="C24" s="102">
        <f t="shared" si="4"/>
        <v>3</v>
      </c>
      <c r="D24" s="102">
        <f t="shared" si="3"/>
        <v>10</v>
      </c>
      <c r="E24" s="34">
        <f t="shared" si="6"/>
        <v>28</v>
      </c>
      <c r="F24" s="265">
        <f t="shared" si="6"/>
        <v>0.2</v>
      </c>
      <c r="G24" s="1">
        <f t="shared" si="6"/>
        <v>7.4</v>
      </c>
      <c r="H24" s="102">
        <v>3</v>
      </c>
      <c r="I24" s="102">
        <v>10</v>
      </c>
      <c r="J24" s="34">
        <v>28</v>
      </c>
      <c r="K24" s="265">
        <v>0.2</v>
      </c>
      <c r="L24" s="1">
        <v>7.4</v>
      </c>
    </row>
    <row r="25" spans="1:12" ht="17.5" x14ac:dyDescent="0.35">
      <c r="A25" s="332"/>
      <c r="B25" s="207">
        <f t="shared" si="5"/>
        <v>45626</v>
      </c>
      <c r="C25" s="102">
        <f t="shared" si="4"/>
        <v>3</v>
      </c>
      <c r="D25" s="102">
        <f t="shared" si="3"/>
        <v>10</v>
      </c>
      <c r="E25" s="34">
        <f t="shared" si="6"/>
        <v>28</v>
      </c>
      <c r="F25" s="265">
        <f t="shared" si="6"/>
        <v>0.2</v>
      </c>
      <c r="G25" s="1">
        <f t="shared" si="6"/>
        <v>7.4</v>
      </c>
      <c r="H25" s="102">
        <v>3</v>
      </c>
      <c r="I25" s="102">
        <v>10</v>
      </c>
      <c r="J25" s="34">
        <v>28</v>
      </c>
      <c r="K25" s="265">
        <v>0.2</v>
      </c>
      <c r="L25" s="1">
        <v>7.4</v>
      </c>
    </row>
    <row r="26" spans="1:12" ht="17.5" x14ac:dyDescent="0.35">
      <c r="A26" s="332"/>
      <c r="B26" s="207">
        <f t="shared" si="5"/>
        <v>45657</v>
      </c>
      <c r="C26" s="102">
        <f t="shared" si="4"/>
        <v>3</v>
      </c>
      <c r="D26" s="102">
        <f t="shared" si="3"/>
        <v>10</v>
      </c>
      <c r="E26" s="34">
        <f t="shared" si="6"/>
        <v>28</v>
      </c>
      <c r="F26" s="265">
        <f t="shared" si="6"/>
        <v>0.2</v>
      </c>
      <c r="G26" s="1">
        <f t="shared" si="6"/>
        <v>7.4</v>
      </c>
      <c r="H26" s="102">
        <v>3</v>
      </c>
      <c r="I26" s="102">
        <v>10</v>
      </c>
      <c r="J26" s="34">
        <v>28</v>
      </c>
      <c r="K26" s="265">
        <v>0.2</v>
      </c>
      <c r="L26" s="1">
        <v>7.4</v>
      </c>
    </row>
    <row r="27" spans="1:12" ht="17.5" x14ac:dyDescent="0.35">
      <c r="A27" s="332"/>
      <c r="B27" s="207">
        <f t="shared" si="5"/>
        <v>45688</v>
      </c>
      <c r="C27" s="102">
        <f t="shared" si="4"/>
        <v>3</v>
      </c>
      <c r="D27" s="102">
        <f t="shared" si="3"/>
        <v>10</v>
      </c>
      <c r="E27" s="34">
        <f t="shared" si="6"/>
        <v>28</v>
      </c>
      <c r="F27" s="265">
        <f t="shared" si="6"/>
        <v>0.2</v>
      </c>
      <c r="G27" s="1">
        <f t="shared" si="6"/>
        <v>7.4</v>
      </c>
      <c r="H27" s="102">
        <v>3</v>
      </c>
      <c r="I27" s="102">
        <v>10</v>
      </c>
      <c r="J27" s="34">
        <v>28</v>
      </c>
      <c r="K27" s="265">
        <v>0.2</v>
      </c>
      <c r="L27" s="1">
        <v>7.4</v>
      </c>
    </row>
    <row r="28" spans="1:12" ht="17.5" x14ac:dyDescent="0.35">
      <c r="A28" s="332"/>
      <c r="B28" s="207">
        <f t="shared" si="5"/>
        <v>45716</v>
      </c>
      <c r="C28" s="102">
        <f t="shared" si="4"/>
        <v>3</v>
      </c>
      <c r="D28" s="102">
        <f t="shared" si="3"/>
        <v>10</v>
      </c>
      <c r="E28" s="34">
        <f t="shared" si="6"/>
        <v>28</v>
      </c>
      <c r="F28" s="265">
        <f t="shared" si="6"/>
        <v>0.2</v>
      </c>
      <c r="G28" s="1">
        <f t="shared" si="6"/>
        <v>7.4</v>
      </c>
      <c r="H28" s="102">
        <v>3</v>
      </c>
      <c r="I28" s="102">
        <v>10</v>
      </c>
      <c r="J28" s="34">
        <v>28</v>
      </c>
      <c r="K28" s="265">
        <v>0.2</v>
      </c>
      <c r="L28" s="1">
        <v>7.4</v>
      </c>
    </row>
    <row r="29" spans="1:12" thickBot="1" x14ac:dyDescent="0.4">
      <c r="A29" s="332"/>
      <c r="B29" s="207">
        <f t="shared" si="5"/>
        <v>45747</v>
      </c>
      <c r="C29" s="102">
        <f t="shared" si="4"/>
        <v>3</v>
      </c>
      <c r="D29" s="102">
        <f t="shared" si="3"/>
        <v>10</v>
      </c>
      <c r="E29" s="34">
        <f t="shared" si="6"/>
        <v>28</v>
      </c>
      <c r="F29" s="265">
        <f t="shared" si="6"/>
        <v>0.2</v>
      </c>
      <c r="G29" s="1">
        <f t="shared" si="6"/>
        <v>7.4</v>
      </c>
      <c r="H29" s="102">
        <v>3</v>
      </c>
      <c r="I29" s="102">
        <v>10</v>
      </c>
      <c r="J29" s="34">
        <v>28</v>
      </c>
      <c r="K29" s="265">
        <v>0.2</v>
      </c>
      <c r="L29" s="1">
        <v>7.4</v>
      </c>
    </row>
    <row r="30" spans="1:12" ht="18.5" thickBot="1" x14ac:dyDescent="0.45">
      <c r="A30" s="209"/>
      <c r="B30" s="212" t="s">
        <v>71</v>
      </c>
      <c r="C30" s="160">
        <f>SUM(C18:C29)</f>
        <v>36</v>
      </c>
      <c r="D30" s="160">
        <f>SUM(D18:D29)</f>
        <v>120</v>
      </c>
      <c r="E30" s="161"/>
      <c r="F30" s="161"/>
      <c r="G30" s="162"/>
      <c r="H30" s="81">
        <f>SUM(H18:H29)</f>
        <v>36</v>
      </c>
      <c r="I30" s="81">
        <f>SUM(I18:I29)</f>
        <v>120</v>
      </c>
      <c r="J30" s="82"/>
      <c r="K30" s="82"/>
      <c r="L30" s="83"/>
    </row>
    <row r="31" spans="1:12" ht="17.5" x14ac:dyDescent="0.35">
      <c r="A31" s="331" t="s">
        <v>75</v>
      </c>
      <c r="B31" s="211">
        <f>EOMONTH(B29,1)</f>
        <v>45777</v>
      </c>
      <c r="C31" s="102">
        <f>C18</f>
        <v>3</v>
      </c>
      <c r="D31" s="102">
        <f t="shared" ref="D31:G42" si="7">D18</f>
        <v>10</v>
      </c>
      <c r="E31" s="34">
        <f t="shared" si="7"/>
        <v>28</v>
      </c>
      <c r="F31" s="265">
        <f t="shared" si="7"/>
        <v>0.2</v>
      </c>
      <c r="G31" s="1">
        <f t="shared" si="7"/>
        <v>7.4</v>
      </c>
      <c r="H31" s="102">
        <v>3</v>
      </c>
      <c r="I31" s="102">
        <v>10</v>
      </c>
      <c r="J31" s="34">
        <v>28</v>
      </c>
      <c r="K31" s="265">
        <v>0.2</v>
      </c>
      <c r="L31" s="1">
        <v>7.4</v>
      </c>
    </row>
    <row r="32" spans="1:12" ht="17.5" x14ac:dyDescent="0.35">
      <c r="A32" s="332"/>
      <c r="B32" s="207">
        <f>EOMONTH(B31,1)</f>
        <v>45808</v>
      </c>
      <c r="C32" s="102">
        <f t="shared" ref="C32:C42" si="8">C19</f>
        <v>3</v>
      </c>
      <c r="D32" s="102">
        <f t="shared" si="7"/>
        <v>10</v>
      </c>
      <c r="E32" s="34">
        <f t="shared" si="7"/>
        <v>28</v>
      </c>
      <c r="F32" s="265">
        <f t="shared" si="7"/>
        <v>0.2</v>
      </c>
      <c r="G32" s="1">
        <f t="shared" si="7"/>
        <v>7.4</v>
      </c>
      <c r="H32" s="102">
        <v>3</v>
      </c>
      <c r="I32" s="102">
        <v>10</v>
      </c>
      <c r="J32" s="34">
        <v>28</v>
      </c>
      <c r="K32" s="265">
        <v>0.2</v>
      </c>
      <c r="L32" s="1">
        <v>7.4</v>
      </c>
    </row>
    <row r="33" spans="1:12" ht="17.5" x14ac:dyDescent="0.35">
      <c r="A33" s="332"/>
      <c r="B33" s="207">
        <f t="shared" ref="B33:B42" si="9">EOMONTH(B32,1)</f>
        <v>45838</v>
      </c>
      <c r="C33" s="102">
        <f t="shared" si="8"/>
        <v>3</v>
      </c>
      <c r="D33" s="102">
        <f t="shared" si="7"/>
        <v>10</v>
      </c>
      <c r="E33" s="34">
        <f t="shared" si="7"/>
        <v>28</v>
      </c>
      <c r="F33" s="265">
        <f t="shared" si="7"/>
        <v>0.2</v>
      </c>
      <c r="G33" s="1">
        <f t="shared" si="7"/>
        <v>7.4</v>
      </c>
      <c r="H33" s="102">
        <v>3</v>
      </c>
      <c r="I33" s="102">
        <v>10</v>
      </c>
      <c r="J33" s="34">
        <v>28</v>
      </c>
      <c r="K33" s="265">
        <v>0.2</v>
      </c>
      <c r="L33" s="1">
        <v>7.4</v>
      </c>
    </row>
    <row r="34" spans="1:12" ht="17.5" x14ac:dyDescent="0.35">
      <c r="A34" s="332"/>
      <c r="B34" s="207">
        <f t="shared" si="9"/>
        <v>45869</v>
      </c>
      <c r="C34" s="102">
        <f t="shared" si="8"/>
        <v>3</v>
      </c>
      <c r="D34" s="102">
        <f t="shared" si="7"/>
        <v>10</v>
      </c>
      <c r="E34" s="34">
        <f t="shared" si="7"/>
        <v>28</v>
      </c>
      <c r="F34" s="265">
        <f t="shared" si="7"/>
        <v>0.2</v>
      </c>
      <c r="G34" s="1">
        <f t="shared" si="7"/>
        <v>7.4</v>
      </c>
      <c r="H34" s="102">
        <v>3</v>
      </c>
      <c r="I34" s="102">
        <v>10</v>
      </c>
      <c r="J34" s="34">
        <v>28</v>
      </c>
      <c r="K34" s="265">
        <v>0.2</v>
      </c>
      <c r="L34" s="1">
        <v>7.4</v>
      </c>
    </row>
    <row r="35" spans="1:12" ht="17.5" x14ac:dyDescent="0.35">
      <c r="A35" s="332"/>
      <c r="B35" s="207">
        <f t="shared" si="9"/>
        <v>45900</v>
      </c>
      <c r="C35" s="102">
        <f t="shared" si="8"/>
        <v>3</v>
      </c>
      <c r="D35" s="102">
        <f t="shared" si="7"/>
        <v>10</v>
      </c>
      <c r="E35" s="34">
        <f t="shared" si="7"/>
        <v>28</v>
      </c>
      <c r="F35" s="265">
        <f t="shared" si="7"/>
        <v>0.2</v>
      </c>
      <c r="G35" s="1">
        <f t="shared" si="7"/>
        <v>7.4</v>
      </c>
      <c r="H35" s="102">
        <v>3</v>
      </c>
      <c r="I35" s="102">
        <v>10</v>
      </c>
      <c r="J35" s="34">
        <v>28</v>
      </c>
      <c r="K35" s="265">
        <v>0.2</v>
      </c>
      <c r="L35" s="1">
        <v>7.4</v>
      </c>
    </row>
    <row r="36" spans="1:12" ht="17.5" x14ac:dyDescent="0.35">
      <c r="A36" s="332"/>
      <c r="B36" s="207">
        <f t="shared" si="9"/>
        <v>45930</v>
      </c>
      <c r="C36" s="102">
        <f t="shared" si="8"/>
        <v>3</v>
      </c>
      <c r="D36" s="102">
        <f t="shared" si="7"/>
        <v>10</v>
      </c>
      <c r="E36" s="34">
        <f t="shared" si="7"/>
        <v>28</v>
      </c>
      <c r="F36" s="265">
        <f t="shared" si="7"/>
        <v>0.2</v>
      </c>
      <c r="G36" s="1">
        <f t="shared" si="7"/>
        <v>7.4</v>
      </c>
      <c r="H36" s="102">
        <v>3</v>
      </c>
      <c r="I36" s="102">
        <v>10</v>
      </c>
      <c r="J36" s="34">
        <v>28</v>
      </c>
      <c r="K36" s="265">
        <v>0.2</v>
      </c>
      <c r="L36" s="1">
        <v>7.4</v>
      </c>
    </row>
    <row r="37" spans="1:12" ht="17.5" x14ac:dyDescent="0.35">
      <c r="A37" s="332"/>
      <c r="B37" s="207">
        <f t="shared" si="9"/>
        <v>45961</v>
      </c>
      <c r="C37" s="102">
        <f t="shared" si="8"/>
        <v>3</v>
      </c>
      <c r="D37" s="102">
        <f t="shared" si="7"/>
        <v>10</v>
      </c>
      <c r="E37" s="34">
        <f t="shared" si="7"/>
        <v>28</v>
      </c>
      <c r="F37" s="265">
        <f t="shared" si="7"/>
        <v>0.2</v>
      </c>
      <c r="G37" s="1">
        <f t="shared" si="7"/>
        <v>7.4</v>
      </c>
      <c r="H37" s="102">
        <v>3</v>
      </c>
      <c r="I37" s="102">
        <v>10</v>
      </c>
      <c r="J37" s="34">
        <v>28</v>
      </c>
      <c r="K37" s="265">
        <v>0.2</v>
      </c>
      <c r="L37" s="1">
        <v>7.4</v>
      </c>
    </row>
    <row r="38" spans="1:12" ht="17.5" x14ac:dyDescent="0.35">
      <c r="A38" s="332"/>
      <c r="B38" s="207">
        <f t="shared" si="9"/>
        <v>45991</v>
      </c>
      <c r="C38" s="102">
        <f t="shared" si="8"/>
        <v>3</v>
      </c>
      <c r="D38" s="102">
        <f t="shared" si="7"/>
        <v>10</v>
      </c>
      <c r="E38" s="34">
        <f t="shared" si="7"/>
        <v>28</v>
      </c>
      <c r="F38" s="265">
        <f t="shared" si="7"/>
        <v>0.2</v>
      </c>
      <c r="G38" s="1">
        <f t="shared" si="7"/>
        <v>7.4</v>
      </c>
      <c r="H38" s="102">
        <v>3</v>
      </c>
      <c r="I38" s="102">
        <v>10</v>
      </c>
      <c r="J38" s="34">
        <v>28</v>
      </c>
      <c r="K38" s="265">
        <v>0.2</v>
      </c>
      <c r="L38" s="1">
        <v>7.4</v>
      </c>
    </row>
    <row r="39" spans="1:12" ht="17.5" x14ac:dyDescent="0.35">
      <c r="A39" s="332"/>
      <c r="B39" s="207">
        <f t="shared" si="9"/>
        <v>46022</v>
      </c>
      <c r="C39" s="102">
        <f t="shared" si="8"/>
        <v>3</v>
      </c>
      <c r="D39" s="102">
        <f t="shared" si="7"/>
        <v>10</v>
      </c>
      <c r="E39" s="34">
        <f t="shared" si="7"/>
        <v>28</v>
      </c>
      <c r="F39" s="265">
        <f t="shared" si="7"/>
        <v>0.2</v>
      </c>
      <c r="G39" s="1">
        <f t="shared" si="7"/>
        <v>7.4</v>
      </c>
      <c r="H39" s="102">
        <v>3</v>
      </c>
      <c r="I39" s="102">
        <v>10</v>
      </c>
      <c r="J39" s="34">
        <v>28</v>
      </c>
      <c r="K39" s="265">
        <v>0.2</v>
      </c>
      <c r="L39" s="1">
        <v>7.4</v>
      </c>
    </row>
    <row r="40" spans="1:12" ht="17.5" x14ac:dyDescent="0.35">
      <c r="A40" s="332"/>
      <c r="B40" s="207">
        <f t="shared" si="9"/>
        <v>46053</v>
      </c>
      <c r="C40" s="102">
        <f t="shared" si="8"/>
        <v>3</v>
      </c>
      <c r="D40" s="102">
        <f t="shared" si="7"/>
        <v>10</v>
      </c>
      <c r="E40" s="34">
        <f t="shared" si="7"/>
        <v>28</v>
      </c>
      <c r="F40" s="265">
        <f t="shared" si="7"/>
        <v>0.2</v>
      </c>
      <c r="G40" s="1">
        <f t="shared" si="7"/>
        <v>7.4</v>
      </c>
      <c r="H40" s="102">
        <v>3</v>
      </c>
      <c r="I40" s="102">
        <v>10</v>
      </c>
      <c r="J40" s="34">
        <v>28</v>
      </c>
      <c r="K40" s="265">
        <v>0.2</v>
      </c>
      <c r="L40" s="1">
        <v>7.4</v>
      </c>
    </row>
    <row r="41" spans="1:12" ht="17.5" x14ac:dyDescent="0.35">
      <c r="A41" s="332"/>
      <c r="B41" s="207">
        <f t="shared" si="9"/>
        <v>46081</v>
      </c>
      <c r="C41" s="102">
        <f t="shared" si="8"/>
        <v>3</v>
      </c>
      <c r="D41" s="102">
        <f t="shared" si="7"/>
        <v>10</v>
      </c>
      <c r="E41" s="34">
        <f t="shared" si="7"/>
        <v>28</v>
      </c>
      <c r="F41" s="265">
        <f t="shared" si="7"/>
        <v>0.2</v>
      </c>
      <c r="G41" s="1">
        <f t="shared" si="7"/>
        <v>7.4</v>
      </c>
      <c r="H41" s="102">
        <v>3</v>
      </c>
      <c r="I41" s="102">
        <v>10</v>
      </c>
      <c r="J41" s="34">
        <v>28</v>
      </c>
      <c r="K41" s="265">
        <v>0.2</v>
      </c>
      <c r="L41" s="1">
        <v>7.4</v>
      </c>
    </row>
    <row r="42" spans="1:12" thickBot="1" x14ac:dyDescent="0.4">
      <c r="A42" s="332"/>
      <c r="B42" s="207">
        <f t="shared" si="9"/>
        <v>46112</v>
      </c>
      <c r="C42" s="102">
        <f t="shared" si="8"/>
        <v>3</v>
      </c>
      <c r="D42" s="102">
        <f t="shared" si="7"/>
        <v>10</v>
      </c>
      <c r="E42" s="34">
        <f t="shared" si="7"/>
        <v>28</v>
      </c>
      <c r="F42" s="265">
        <f t="shared" si="7"/>
        <v>0.2</v>
      </c>
      <c r="G42" s="1">
        <f t="shared" si="7"/>
        <v>7.4</v>
      </c>
      <c r="H42" s="102">
        <v>3</v>
      </c>
      <c r="I42" s="102">
        <v>10</v>
      </c>
      <c r="J42" s="34">
        <v>28</v>
      </c>
      <c r="K42" s="265">
        <v>0.2</v>
      </c>
      <c r="L42" s="1">
        <v>7.4</v>
      </c>
    </row>
    <row r="43" spans="1:12" ht="18.5" thickBot="1" x14ac:dyDescent="0.45">
      <c r="A43" s="209"/>
      <c r="B43" s="212" t="s">
        <v>71</v>
      </c>
      <c r="C43" s="160">
        <f>SUM(C31:C42)</f>
        <v>36</v>
      </c>
      <c r="D43" s="160">
        <f>SUM(D31:D42)</f>
        <v>120</v>
      </c>
      <c r="E43" s="161"/>
      <c r="F43" s="161"/>
      <c r="G43" s="162"/>
      <c r="H43" s="81">
        <f>SUM(H31:H42)</f>
        <v>36</v>
      </c>
      <c r="I43" s="81">
        <f>SUM(I31:I42)</f>
        <v>120</v>
      </c>
      <c r="J43" s="82"/>
      <c r="K43" s="82"/>
      <c r="L43" s="83"/>
    </row>
    <row r="44" spans="1:12" ht="17.5" x14ac:dyDescent="0.35">
      <c r="A44" s="331" t="s">
        <v>76</v>
      </c>
      <c r="B44" s="211">
        <f>EOMONTH(B42,1)</f>
        <v>46142</v>
      </c>
      <c r="C44" s="102">
        <f>C31</f>
        <v>3</v>
      </c>
      <c r="D44" s="102">
        <f t="shared" ref="D44:G44" si="10">D31</f>
        <v>10</v>
      </c>
      <c r="E44" s="34">
        <f t="shared" si="10"/>
        <v>28</v>
      </c>
      <c r="F44" s="265">
        <f t="shared" si="10"/>
        <v>0.2</v>
      </c>
      <c r="G44" s="1">
        <f t="shared" si="10"/>
        <v>7.4</v>
      </c>
      <c r="H44" s="102">
        <v>3</v>
      </c>
      <c r="I44" s="102">
        <v>10</v>
      </c>
      <c r="J44" s="34">
        <v>28</v>
      </c>
      <c r="K44" s="265">
        <v>0.2</v>
      </c>
      <c r="L44" s="1">
        <v>7.4</v>
      </c>
    </row>
    <row r="45" spans="1:12" ht="17.5" x14ac:dyDescent="0.35">
      <c r="A45" s="332"/>
      <c r="B45" s="207">
        <f>EOMONTH(B44,1)</f>
        <v>46173</v>
      </c>
      <c r="C45" s="102">
        <f t="shared" ref="C45:G55" si="11">C32</f>
        <v>3</v>
      </c>
      <c r="D45" s="102">
        <f t="shared" si="11"/>
        <v>10</v>
      </c>
      <c r="E45" s="34">
        <f t="shared" si="11"/>
        <v>28</v>
      </c>
      <c r="F45" s="265">
        <f t="shared" si="11"/>
        <v>0.2</v>
      </c>
      <c r="G45" s="1">
        <f t="shared" si="11"/>
        <v>7.4</v>
      </c>
      <c r="H45" s="102">
        <v>3</v>
      </c>
      <c r="I45" s="102">
        <v>10</v>
      </c>
      <c r="J45" s="34">
        <v>28</v>
      </c>
      <c r="K45" s="265">
        <v>0.2</v>
      </c>
      <c r="L45" s="1">
        <v>7.4</v>
      </c>
    </row>
    <row r="46" spans="1:12" ht="17.5" x14ac:dyDescent="0.35">
      <c r="A46" s="332"/>
      <c r="B46" s="207">
        <f t="shared" ref="B46:B55" si="12">EOMONTH(B45,1)</f>
        <v>46203</v>
      </c>
      <c r="C46" s="102">
        <f t="shared" si="11"/>
        <v>3</v>
      </c>
      <c r="D46" s="102">
        <f t="shared" si="11"/>
        <v>10</v>
      </c>
      <c r="E46" s="34">
        <f t="shared" si="11"/>
        <v>28</v>
      </c>
      <c r="F46" s="265">
        <f t="shared" si="11"/>
        <v>0.2</v>
      </c>
      <c r="G46" s="1">
        <f t="shared" si="11"/>
        <v>7.4</v>
      </c>
      <c r="H46" s="102">
        <v>3</v>
      </c>
      <c r="I46" s="102">
        <v>10</v>
      </c>
      <c r="J46" s="34">
        <v>28</v>
      </c>
      <c r="K46" s="265">
        <v>0.2</v>
      </c>
      <c r="L46" s="1">
        <v>7.4</v>
      </c>
    </row>
    <row r="47" spans="1:12" ht="17.5" x14ac:dyDescent="0.35">
      <c r="A47" s="332"/>
      <c r="B47" s="207">
        <f t="shared" si="12"/>
        <v>46234</v>
      </c>
      <c r="C47" s="102">
        <f t="shared" si="11"/>
        <v>3</v>
      </c>
      <c r="D47" s="102">
        <f t="shared" si="11"/>
        <v>10</v>
      </c>
      <c r="E47" s="34">
        <f t="shared" si="11"/>
        <v>28</v>
      </c>
      <c r="F47" s="265">
        <f t="shared" si="11"/>
        <v>0.2</v>
      </c>
      <c r="G47" s="1">
        <f t="shared" si="11"/>
        <v>7.4</v>
      </c>
      <c r="H47" s="102">
        <v>3</v>
      </c>
      <c r="I47" s="102">
        <v>10</v>
      </c>
      <c r="J47" s="34">
        <v>28</v>
      </c>
      <c r="K47" s="265">
        <v>0.2</v>
      </c>
      <c r="L47" s="1">
        <v>7.4</v>
      </c>
    </row>
    <row r="48" spans="1:12" ht="17.5" x14ac:dyDescent="0.35">
      <c r="A48" s="332"/>
      <c r="B48" s="207">
        <f t="shared" si="12"/>
        <v>46265</v>
      </c>
      <c r="C48" s="102">
        <f t="shared" si="11"/>
        <v>3</v>
      </c>
      <c r="D48" s="102">
        <f t="shared" si="11"/>
        <v>10</v>
      </c>
      <c r="E48" s="34">
        <f t="shared" si="11"/>
        <v>28</v>
      </c>
      <c r="F48" s="265">
        <f t="shared" si="11"/>
        <v>0.2</v>
      </c>
      <c r="G48" s="1">
        <f t="shared" si="11"/>
        <v>7.4</v>
      </c>
      <c r="H48" s="102">
        <v>3</v>
      </c>
      <c r="I48" s="102">
        <v>10</v>
      </c>
      <c r="J48" s="34">
        <v>28</v>
      </c>
      <c r="K48" s="265">
        <v>0.2</v>
      </c>
      <c r="L48" s="1">
        <v>7.4</v>
      </c>
    </row>
    <row r="49" spans="1:12" ht="17.5" x14ac:dyDescent="0.35">
      <c r="A49" s="332"/>
      <c r="B49" s="207">
        <f t="shared" si="12"/>
        <v>46295</v>
      </c>
      <c r="C49" s="102">
        <f t="shared" si="11"/>
        <v>3</v>
      </c>
      <c r="D49" s="102">
        <f t="shared" si="11"/>
        <v>10</v>
      </c>
      <c r="E49" s="34">
        <f t="shared" si="11"/>
        <v>28</v>
      </c>
      <c r="F49" s="265">
        <f t="shared" si="11"/>
        <v>0.2</v>
      </c>
      <c r="G49" s="1">
        <f t="shared" si="11"/>
        <v>7.4</v>
      </c>
      <c r="H49" s="102">
        <v>3</v>
      </c>
      <c r="I49" s="102">
        <v>10</v>
      </c>
      <c r="J49" s="34">
        <v>28</v>
      </c>
      <c r="K49" s="265">
        <v>0.2</v>
      </c>
      <c r="L49" s="1">
        <v>7.4</v>
      </c>
    </row>
    <row r="50" spans="1:12" ht="17.5" x14ac:dyDescent="0.35">
      <c r="A50" s="332"/>
      <c r="B50" s="207">
        <f t="shared" si="12"/>
        <v>46326</v>
      </c>
      <c r="C50" s="102">
        <f t="shared" si="11"/>
        <v>3</v>
      </c>
      <c r="D50" s="102">
        <f t="shared" si="11"/>
        <v>10</v>
      </c>
      <c r="E50" s="34">
        <f t="shared" si="11"/>
        <v>28</v>
      </c>
      <c r="F50" s="265">
        <f t="shared" si="11"/>
        <v>0.2</v>
      </c>
      <c r="G50" s="1">
        <f t="shared" si="11"/>
        <v>7.4</v>
      </c>
      <c r="H50" s="102">
        <v>3</v>
      </c>
      <c r="I50" s="102">
        <v>10</v>
      </c>
      <c r="J50" s="34">
        <v>28</v>
      </c>
      <c r="K50" s="265">
        <v>0.2</v>
      </c>
      <c r="L50" s="1">
        <v>7.4</v>
      </c>
    </row>
    <row r="51" spans="1:12" ht="17.5" x14ac:dyDescent="0.35">
      <c r="A51" s="332"/>
      <c r="B51" s="207">
        <f t="shared" si="12"/>
        <v>46356</v>
      </c>
      <c r="C51" s="102">
        <f t="shared" si="11"/>
        <v>3</v>
      </c>
      <c r="D51" s="102">
        <f t="shared" si="11"/>
        <v>10</v>
      </c>
      <c r="E51" s="34">
        <f t="shared" si="11"/>
        <v>28</v>
      </c>
      <c r="F51" s="265">
        <f t="shared" si="11"/>
        <v>0.2</v>
      </c>
      <c r="G51" s="1">
        <f t="shared" si="11"/>
        <v>7.4</v>
      </c>
      <c r="H51" s="102">
        <v>3</v>
      </c>
      <c r="I51" s="102">
        <v>10</v>
      </c>
      <c r="J51" s="34">
        <v>28</v>
      </c>
      <c r="K51" s="265">
        <v>0.2</v>
      </c>
      <c r="L51" s="1">
        <v>7.4</v>
      </c>
    </row>
    <row r="52" spans="1:12" ht="17.5" x14ac:dyDescent="0.35">
      <c r="A52" s="332"/>
      <c r="B52" s="207">
        <f t="shared" si="12"/>
        <v>46387</v>
      </c>
      <c r="C52" s="102">
        <f t="shared" si="11"/>
        <v>3</v>
      </c>
      <c r="D52" s="102">
        <f t="shared" si="11"/>
        <v>10</v>
      </c>
      <c r="E52" s="34">
        <f t="shared" si="11"/>
        <v>28</v>
      </c>
      <c r="F52" s="265">
        <f t="shared" si="11"/>
        <v>0.2</v>
      </c>
      <c r="G52" s="1">
        <f t="shared" si="11"/>
        <v>7.4</v>
      </c>
      <c r="H52" s="102">
        <v>3</v>
      </c>
      <c r="I52" s="102">
        <v>10</v>
      </c>
      <c r="J52" s="34">
        <v>28</v>
      </c>
      <c r="K52" s="265">
        <v>0.2</v>
      </c>
      <c r="L52" s="1">
        <v>7.4</v>
      </c>
    </row>
    <row r="53" spans="1:12" ht="17.5" x14ac:dyDescent="0.35">
      <c r="A53" s="332"/>
      <c r="B53" s="207">
        <f t="shared" si="12"/>
        <v>46418</v>
      </c>
      <c r="C53" s="102">
        <f t="shared" si="11"/>
        <v>3</v>
      </c>
      <c r="D53" s="102">
        <f t="shared" si="11"/>
        <v>10</v>
      </c>
      <c r="E53" s="34">
        <f t="shared" si="11"/>
        <v>28</v>
      </c>
      <c r="F53" s="265">
        <f t="shared" si="11"/>
        <v>0.2</v>
      </c>
      <c r="G53" s="1">
        <f t="shared" si="11"/>
        <v>7.4</v>
      </c>
      <c r="H53" s="102">
        <v>3</v>
      </c>
      <c r="I53" s="102">
        <v>10</v>
      </c>
      <c r="J53" s="34">
        <v>28</v>
      </c>
      <c r="K53" s="265">
        <v>0.2</v>
      </c>
      <c r="L53" s="1">
        <v>7.4</v>
      </c>
    </row>
    <row r="54" spans="1:12" ht="17.5" x14ac:dyDescent="0.35">
      <c r="A54" s="332"/>
      <c r="B54" s="207">
        <f t="shared" si="12"/>
        <v>46446</v>
      </c>
      <c r="C54" s="102">
        <f t="shared" si="11"/>
        <v>3</v>
      </c>
      <c r="D54" s="102">
        <f t="shared" si="11"/>
        <v>10</v>
      </c>
      <c r="E54" s="34">
        <f t="shared" si="11"/>
        <v>28</v>
      </c>
      <c r="F54" s="265">
        <f t="shared" si="11"/>
        <v>0.2</v>
      </c>
      <c r="G54" s="1">
        <f t="shared" si="11"/>
        <v>7.4</v>
      </c>
      <c r="H54" s="102">
        <v>3</v>
      </c>
      <c r="I54" s="102">
        <v>10</v>
      </c>
      <c r="J54" s="34">
        <v>28</v>
      </c>
      <c r="K54" s="265">
        <v>0.2</v>
      </c>
      <c r="L54" s="1">
        <v>7.4</v>
      </c>
    </row>
    <row r="55" spans="1:12" thickBot="1" x14ac:dyDescent="0.4">
      <c r="A55" s="332"/>
      <c r="B55" s="207">
        <f t="shared" si="12"/>
        <v>46477</v>
      </c>
      <c r="C55" s="102">
        <f t="shared" si="11"/>
        <v>3</v>
      </c>
      <c r="D55" s="102">
        <f t="shared" si="11"/>
        <v>10</v>
      </c>
      <c r="E55" s="34">
        <f t="shared" si="11"/>
        <v>28</v>
      </c>
      <c r="F55" s="265">
        <f t="shared" si="11"/>
        <v>0.2</v>
      </c>
      <c r="G55" s="1">
        <f t="shared" si="11"/>
        <v>7.4</v>
      </c>
      <c r="H55" s="102">
        <v>3</v>
      </c>
      <c r="I55" s="102">
        <v>10</v>
      </c>
      <c r="J55" s="34">
        <v>28</v>
      </c>
      <c r="K55" s="265">
        <v>0.2</v>
      </c>
      <c r="L55" s="1">
        <v>7.4</v>
      </c>
    </row>
    <row r="56" spans="1:12" ht="18.5" thickBot="1" x14ac:dyDescent="0.45">
      <c r="A56" s="209"/>
      <c r="B56" s="212" t="s">
        <v>71</v>
      </c>
      <c r="C56" s="160">
        <f>SUM(C44:C55)</f>
        <v>36</v>
      </c>
      <c r="D56" s="160">
        <f>SUM(D44:D55)</f>
        <v>120</v>
      </c>
      <c r="E56" s="162"/>
      <c r="F56" s="162"/>
      <c r="G56" s="162"/>
      <c r="H56" s="81">
        <f>SUM(H44:H55)</f>
        <v>36</v>
      </c>
      <c r="I56" s="81">
        <f>SUM(I44:I55)</f>
        <v>120</v>
      </c>
      <c r="J56" s="83"/>
      <c r="K56" s="83"/>
      <c r="L56" s="83"/>
    </row>
  </sheetData>
  <mergeCells count="6">
    <mergeCell ref="A44:A55"/>
    <mergeCell ref="C2:G2"/>
    <mergeCell ref="H2:L2"/>
    <mergeCell ref="A5:A16"/>
    <mergeCell ref="A18:A29"/>
    <mergeCell ref="A31:A42"/>
  </mergeCells>
  <printOptions horizontalCentered="1"/>
  <pageMargins left="0.70866141732283472" right="0.70866141732283472" top="0.55118110236220474" bottom="0.55118110236220474" header="0.31496062992125984" footer="0.31496062992125984"/>
  <pageSetup paperSize="9" scale="75" fitToWidth="0" orientation="portrait" r:id="rId1"/>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8"/>
  <sheetViews>
    <sheetView workbookViewId="0">
      <pane xSplit="1" ySplit="4" topLeftCell="B5" activePane="bottomRight" state="frozen"/>
      <selection pane="topRight" activeCell="B1" sqref="B1"/>
      <selection pane="bottomLeft" activeCell="A5" sqref="A5"/>
      <selection pane="bottomRight" activeCell="D8" sqref="D8"/>
    </sheetView>
  </sheetViews>
  <sheetFormatPr defaultColWidth="9.1796875" defaultRowHeight="12.5" zeroHeight="1" x14ac:dyDescent="0.25"/>
  <cols>
    <col min="1" max="1" width="15.7265625" style="52" customWidth="1"/>
    <col min="2" max="5" width="26" style="52" customWidth="1"/>
    <col min="6" max="9" width="27.54296875" hidden="1" customWidth="1"/>
    <col min="10" max="18" width="9.1796875" customWidth="1"/>
  </cols>
  <sheetData>
    <row r="1" spans="1:12" s="20" customFormat="1" ht="29.5" thickBot="1" x14ac:dyDescent="0.45">
      <c r="A1" s="304"/>
      <c r="B1" s="340" t="s">
        <v>21</v>
      </c>
      <c r="C1" s="340"/>
      <c r="D1" s="340"/>
      <c r="E1" s="341"/>
      <c r="F1" s="340" t="s">
        <v>21</v>
      </c>
      <c r="G1" s="340"/>
      <c r="H1" s="340"/>
      <c r="I1" s="341"/>
      <c r="L1" s="303"/>
    </row>
    <row r="2" spans="1:12" ht="20.5" thickBot="1" x14ac:dyDescent="0.45">
      <c r="A2" s="305"/>
      <c r="B2" s="342" t="s">
        <v>59</v>
      </c>
      <c r="C2" s="343"/>
      <c r="D2" s="344" t="s">
        <v>60</v>
      </c>
      <c r="E2" s="345"/>
      <c r="F2" s="342" t="s">
        <v>59</v>
      </c>
      <c r="G2" s="343"/>
      <c r="H2" s="344" t="s">
        <v>60</v>
      </c>
      <c r="I2" s="345"/>
    </row>
    <row r="3" spans="1:12" ht="20" x14ac:dyDescent="0.4">
      <c r="A3" s="339" t="s">
        <v>152</v>
      </c>
      <c r="B3" s="346" t="s">
        <v>160</v>
      </c>
      <c r="C3" s="347"/>
      <c r="D3" s="348" t="s">
        <v>160</v>
      </c>
      <c r="E3" s="349"/>
      <c r="F3" s="346" t="s">
        <v>153</v>
      </c>
      <c r="G3" s="347"/>
      <c r="H3" s="348" t="s">
        <v>153</v>
      </c>
      <c r="I3" s="349"/>
    </row>
    <row r="4" spans="1:12" ht="18.5" thickBot="1" x14ac:dyDescent="0.3">
      <c r="A4" s="339"/>
      <c r="B4" s="293" t="s">
        <v>4</v>
      </c>
      <c r="C4" s="155" t="s">
        <v>5</v>
      </c>
      <c r="D4" s="74" t="s">
        <v>4</v>
      </c>
      <c r="E4" s="76" t="s">
        <v>5</v>
      </c>
      <c r="F4" s="293" t="s">
        <v>4</v>
      </c>
      <c r="G4" s="155" t="s">
        <v>5</v>
      </c>
      <c r="H4" s="74" t="s">
        <v>4</v>
      </c>
      <c r="I4" s="76" t="s">
        <v>5</v>
      </c>
    </row>
    <row r="5" spans="1:12" ht="15.5" x14ac:dyDescent="0.35">
      <c r="A5" s="294">
        <v>1</v>
      </c>
      <c r="B5" s="298">
        <v>0</v>
      </c>
      <c r="C5" s="298">
        <v>0</v>
      </c>
      <c r="D5" s="298">
        <v>0</v>
      </c>
      <c r="E5" s="298">
        <v>0</v>
      </c>
      <c r="F5" s="297">
        <f>1-B5</f>
        <v>1</v>
      </c>
      <c r="G5" s="297">
        <f>1-C5</f>
        <v>1</v>
      </c>
      <c r="H5" s="297">
        <f>1-D5</f>
        <v>1</v>
      </c>
      <c r="I5" s="297">
        <f>1-E5</f>
        <v>1</v>
      </c>
    </row>
    <row r="6" spans="1:12" ht="15.5" x14ac:dyDescent="0.35">
      <c r="A6" s="295">
        <v>2</v>
      </c>
      <c r="B6" s="300">
        <v>0</v>
      </c>
      <c r="C6" s="300">
        <v>0</v>
      </c>
      <c r="D6" s="300">
        <v>0</v>
      </c>
      <c r="E6" s="300">
        <v>0</v>
      </c>
      <c r="F6" s="299">
        <f>F5*(1-B6)</f>
        <v>1</v>
      </c>
      <c r="G6" s="299">
        <f>G5*(1-C6)</f>
        <v>1</v>
      </c>
      <c r="H6" s="299">
        <f>H5*(1-D6)</f>
        <v>1</v>
      </c>
      <c r="I6" s="299">
        <f>I5*(1-E6)</f>
        <v>1</v>
      </c>
    </row>
    <row r="7" spans="1:12" ht="15.5" x14ac:dyDescent="0.35">
      <c r="A7" s="295">
        <v>3</v>
      </c>
      <c r="B7" s="300">
        <v>0</v>
      </c>
      <c r="C7" s="300">
        <v>0</v>
      </c>
      <c r="D7" s="300">
        <v>0</v>
      </c>
      <c r="E7" s="300">
        <v>0</v>
      </c>
      <c r="F7" s="299">
        <f t="shared" ref="F7:I18" si="0">F6*(1-B7)</f>
        <v>1</v>
      </c>
      <c r="G7" s="299">
        <f t="shared" si="0"/>
        <v>1</v>
      </c>
      <c r="H7" s="299">
        <f t="shared" si="0"/>
        <v>1</v>
      </c>
      <c r="I7" s="299">
        <f t="shared" si="0"/>
        <v>1</v>
      </c>
    </row>
    <row r="8" spans="1:12" ht="15.5" x14ac:dyDescent="0.35">
      <c r="A8" s="295">
        <v>4</v>
      </c>
      <c r="B8" s="300">
        <v>0</v>
      </c>
      <c r="C8" s="300">
        <v>0</v>
      </c>
      <c r="D8" s="300">
        <v>0</v>
      </c>
      <c r="E8" s="300">
        <v>0</v>
      </c>
      <c r="F8" s="299">
        <f t="shared" si="0"/>
        <v>1</v>
      </c>
      <c r="G8" s="299">
        <f t="shared" si="0"/>
        <v>1</v>
      </c>
      <c r="H8" s="299">
        <f t="shared" si="0"/>
        <v>1</v>
      </c>
      <c r="I8" s="299">
        <f t="shared" si="0"/>
        <v>1</v>
      </c>
    </row>
    <row r="9" spans="1:12" ht="15.5" x14ac:dyDescent="0.35">
      <c r="A9" s="295">
        <v>5</v>
      </c>
      <c r="B9" s="300">
        <v>0</v>
      </c>
      <c r="C9" s="300">
        <v>0</v>
      </c>
      <c r="D9" s="300">
        <v>0.2</v>
      </c>
      <c r="E9" s="300">
        <v>0.2</v>
      </c>
      <c r="F9" s="299">
        <f t="shared" si="0"/>
        <v>1</v>
      </c>
      <c r="G9" s="299">
        <f t="shared" si="0"/>
        <v>1</v>
      </c>
      <c r="H9" s="299">
        <f t="shared" si="0"/>
        <v>0.8</v>
      </c>
      <c r="I9" s="299">
        <f t="shared" si="0"/>
        <v>0.8</v>
      </c>
    </row>
    <row r="10" spans="1:12" ht="15.5" x14ac:dyDescent="0.35">
      <c r="A10" s="295">
        <v>6</v>
      </c>
      <c r="B10" s="300">
        <v>0</v>
      </c>
      <c r="C10" s="300">
        <v>0</v>
      </c>
      <c r="D10" s="300">
        <v>0.2</v>
      </c>
      <c r="E10" s="300">
        <v>0.2</v>
      </c>
      <c r="F10" s="299">
        <f t="shared" si="0"/>
        <v>1</v>
      </c>
      <c r="G10" s="299">
        <f t="shared" si="0"/>
        <v>1</v>
      </c>
      <c r="H10" s="299">
        <f t="shared" si="0"/>
        <v>0.64000000000000012</v>
      </c>
      <c r="I10" s="299">
        <f t="shared" si="0"/>
        <v>0.64000000000000012</v>
      </c>
    </row>
    <row r="11" spans="1:12" ht="15.5" x14ac:dyDescent="0.35">
      <c r="A11" s="295">
        <v>7</v>
      </c>
      <c r="B11" s="300">
        <v>0</v>
      </c>
      <c r="C11" s="300">
        <v>0</v>
      </c>
      <c r="D11" s="300">
        <v>0.2</v>
      </c>
      <c r="E11" s="300">
        <v>0.2</v>
      </c>
      <c r="F11" s="299">
        <f t="shared" si="0"/>
        <v>1</v>
      </c>
      <c r="G11" s="299">
        <f t="shared" si="0"/>
        <v>1</v>
      </c>
      <c r="H11" s="299">
        <f t="shared" si="0"/>
        <v>0.51200000000000012</v>
      </c>
      <c r="I11" s="299">
        <f t="shared" si="0"/>
        <v>0.51200000000000012</v>
      </c>
    </row>
    <row r="12" spans="1:12" ht="15.5" x14ac:dyDescent="0.35">
      <c r="A12" s="295">
        <v>8</v>
      </c>
      <c r="B12" s="300">
        <v>0</v>
      </c>
      <c r="C12" s="300">
        <v>0</v>
      </c>
      <c r="D12" s="300">
        <v>1</v>
      </c>
      <c r="E12" s="300">
        <v>1</v>
      </c>
      <c r="F12" s="299">
        <f t="shared" si="0"/>
        <v>1</v>
      </c>
      <c r="G12" s="299">
        <f t="shared" si="0"/>
        <v>1</v>
      </c>
      <c r="H12" s="299">
        <f t="shared" si="0"/>
        <v>0</v>
      </c>
      <c r="I12" s="299">
        <f t="shared" si="0"/>
        <v>0</v>
      </c>
    </row>
    <row r="13" spans="1:12" ht="15.5" x14ac:dyDescent="0.35">
      <c r="A13" s="295">
        <v>9</v>
      </c>
      <c r="B13" s="300">
        <v>0</v>
      </c>
      <c r="C13" s="300">
        <v>0</v>
      </c>
      <c r="D13" s="300">
        <v>0</v>
      </c>
      <c r="E13" s="300">
        <v>0</v>
      </c>
      <c r="F13" s="299">
        <f t="shared" si="0"/>
        <v>1</v>
      </c>
      <c r="G13" s="299">
        <f t="shared" si="0"/>
        <v>1</v>
      </c>
      <c r="H13" s="299">
        <f t="shared" si="0"/>
        <v>0</v>
      </c>
      <c r="I13" s="299">
        <f t="shared" si="0"/>
        <v>0</v>
      </c>
    </row>
    <row r="14" spans="1:12" ht="15.5" x14ac:dyDescent="0.35">
      <c r="A14" s="295">
        <v>10</v>
      </c>
      <c r="B14" s="300">
        <v>0</v>
      </c>
      <c r="C14" s="300">
        <v>0</v>
      </c>
      <c r="D14" s="300">
        <v>0</v>
      </c>
      <c r="E14" s="300">
        <v>0</v>
      </c>
      <c r="F14" s="299">
        <f t="shared" si="0"/>
        <v>1</v>
      </c>
      <c r="G14" s="299">
        <f t="shared" si="0"/>
        <v>1</v>
      </c>
      <c r="H14" s="299">
        <f t="shared" si="0"/>
        <v>0</v>
      </c>
      <c r="I14" s="299">
        <f t="shared" si="0"/>
        <v>0</v>
      </c>
    </row>
    <row r="15" spans="1:12" ht="15.5" x14ac:dyDescent="0.35">
      <c r="A15" s="295">
        <v>11</v>
      </c>
      <c r="B15" s="300">
        <v>0</v>
      </c>
      <c r="C15" s="300">
        <v>0</v>
      </c>
      <c r="D15" s="300">
        <v>0</v>
      </c>
      <c r="E15" s="300">
        <v>0</v>
      </c>
      <c r="F15" s="299">
        <f t="shared" si="0"/>
        <v>1</v>
      </c>
      <c r="G15" s="299">
        <f t="shared" si="0"/>
        <v>1</v>
      </c>
      <c r="H15" s="299">
        <f t="shared" si="0"/>
        <v>0</v>
      </c>
      <c r="I15" s="299">
        <f t="shared" si="0"/>
        <v>0</v>
      </c>
    </row>
    <row r="16" spans="1:12" ht="15.5" x14ac:dyDescent="0.35">
      <c r="A16" s="295">
        <v>12</v>
      </c>
      <c r="B16" s="300">
        <v>0</v>
      </c>
      <c r="C16" s="300">
        <v>0</v>
      </c>
      <c r="D16" s="300">
        <v>0</v>
      </c>
      <c r="E16" s="300">
        <v>0</v>
      </c>
      <c r="F16" s="299">
        <f t="shared" si="0"/>
        <v>1</v>
      </c>
      <c r="G16" s="299">
        <f t="shared" si="0"/>
        <v>1</v>
      </c>
      <c r="H16" s="299">
        <f t="shared" si="0"/>
        <v>0</v>
      </c>
      <c r="I16" s="299">
        <f t="shared" si="0"/>
        <v>0</v>
      </c>
    </row>
    <row r="17" spans="1:9" ht="15.5" x14ac:dyDescent="0.35">
      <c r="A17" s="295">
        <v>13</v>
      </c>
      <c r="B17" s="300">
        <v>0</v>
      </c>
      <c r="C17" s="300">
        <v>0</v>
      </c>
      <c r="D17" s="300">
        <v>0</v>
      </c>
      <c r="E17" s="300">
        <v>0</v>
      </c>
      <c r="F17" s="299">
        <f t="shared" si="0"/>
        <v>1</v>
      </c>
      <c r="G17" s="299">
        <f t="shared" si="0"/>
        <v>1</v>
      </c>
      <c r="H17" s="299">
        <f t="shared" si="0"/>
        <v>0</v>
      </c>
      <c r="I17" s="299">
        <f t="shared" si="0"/>
        <v>0</v>
      </c>
    </row>
    <row r="18" spans="1:9" ht="16" thickBot="1" x14ac:dyDescent="0.4">
      <c r="A18" s="296">
        <v>14</v>
      </c>
      <c r="B18" s="302">
        <v>0</v>
      </c>
      <c r="C18" s="302">
        <v>0</v>
      </c>
      <c r="D18" s="302">
        <v>0</v>
      </c>
      <c r="E18" s="302">
        <v>0</v>
      </c>
      <c r="F18" s="301">
        <f t="shared" si="0"/>
        <v>1</v>
      </c>
      <c r="G18" s="301">
        <f t="shared" si="0"/>
        <v>1</v>
      </c>
      <c r="H18" s="301">
        <f t="shared" si="0"/>
        <v>0</v>
      </c>
      <c r="I18" s="301">
        <f t="shared" si="0"/>
        <v>0</v>
      </c>
    </row>
  </sheetData>
  <mergeCells count="11">
    <mergeCell ref="A3:A4"/>
    <mergeCell ref="F1:I1"/>
    <mergeCell ref="B1:E1"/>
    <mergeCell ref="B2:C2"/>
    <mergeCell ref="D2:E2"/>
    <mergeCell ref="B3:C3"/>
    <mergeCell ref="D3:E3"/>
    <mergeCell ref="F3:G3"/>
    <mergeCell ref="F2:G2"/>
    <mergeCell ref="H2:I2"/>
    <mergeCell ref="H3:I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50"/>
  <sheetViews>
    <sheetView zoomScaleNormal="100" workbookViewId="0">
      <pane xSplit="1" ySplit="6" topLeftCell="B19" activePane="bottomRight" state="frozen"/>
      <selection pane="topRight" activeCell="B1" sqref="B1"/>
      <selection pane="bottomLeft" activeCell="A6" sqref="A6"/>
      <selection pane="bottomRight" activeCell="J28" sqref="J28"/>
    </sheetView>
  </sheetViews>
  <sheetFormatPr defaultColWidth="0" defaultRowHeight="12.5" zeroHeight="1" x14ac:dyDescent="0.25"/>
  <cols>
    <col min="1" max="1" width="10.54296875" style="206" customWidth="1"/>
    <col min="2" max="2" width="6.7265625" style="129" customWidth="1"/>
    <col min="3" max="3" width="14" style="129" customWidth="1"/>
    <col min="4" max="4" width="14.81640625" style="175" customWidth="1"/>
    <col min="5" max="5" width="13" customWidth="1"/>
    <col min="6" max="6" width="14.54296875" customWidth="1"/>
    <col min="7" max="7" width="14.1796875" customWidth="1"/>
    <col min="8" max="8" width="15.26953125" customWidth="1"/>
    <col min="9" max="9" width="12.7265625" customWidth="1"/>
    <col min="10" max="10" width="13.26953125" customWidth="1"/>
    <col min="11" max="11" width="14.453125" style="90" customWidth="1"/>
    <col min="12" max="12" width="12.26953125" customWidth="1"/>
    <col min="13" max="13" width="14" customWidth="1"/>
    <col min="14" max="14" width="13.81640625" customWidth="1"/>
    <col min="15" max="15" width="14.26953125" customWidth="1"/>
    <col min="16" max="16" width="12" customWidth="1"/>
    <col min="17" max="17" width="12.54296875" style="90" customWidth="1"/>
    <col min="18" max="19" width="0" hidden="1" customWidth="1"/>
    <col min="20" max="16384" width="9.1796875" hidden="1"/>
  </cols>
  <sheetData>
    <row r="1" spans="1:17" ht="35" x14ac:dyDescent="0.25">
      <c r="A1" s="177"/>
      <c r="B1" s="264" t="s">
        <v>78</v>
      </c>
      <c r="C1" s="7"/>
      <c r="D1" s="163"/>
      <c r="E1" s="7"/>
      <c r="F1" s="7"/>
      <c r="G1" s="7"/>
      <c r="H1" s="7"/>
      <c r="I1" s="8"/>
      <c r="J1" s="264" t="s">
        <v>78</v>
      </c>
      <c r="K1" s="163"/>
      <c r="L1" s="7"/>
      <c r="M1" s="7"/>
      <c r="N1" s="7"/>
      <c r="O1" s="7"/>
      <c r="P1" s="7"/>
      <c r="Q1" s="164"/>
    </row>
    <row r="2" spans="1:17" ht="18" x14ac:dyDescent="0.25">
      <c r="A2" s="178"/>
      <c r="B2" s="174" t="s">
        <v>67</v>
      </c>
      <c r="E2" s="129"/>
      <c r="F2" s="129"/>
      <c r="G2" s="129"/>
      <c r="H2" s="129"/>
      <c r="I2" s="176"/>
      <c r="J2" s="56" t="s">
        <v>68</v>
      </c>
      <c r="K2" s="91"/>
      <c r="L2" s="57"/>
      <c r="M2" s="57"/>
      <c r="N2" s="57"/>
      <c r="O2" s="57"/>
      <c r="P2" s="57"/>
      <c r="Q2" s="96"/>
    </row>
    <row r="3" spans="1:17" s="88" customFormat="1" ht="16.5" x14ac:dyDescent="0.35">
      <c r="A3" s="179"/>
      <c r="B3" s="262" t="s">
        <v>69</v>
      </c>
      <c r="C3" s="165"/>
      <c r="D3" s="165"/>
      <c r="E3" s="166" t="str">
        <f>CONCATENATE(" ",Input!F14)</f>
        <v xml:space="preserve"> Feed to yield</v>
      </c>
      <c r="F3" s="165"/>
      <c r="G3" s="165"/>
      <c r="H3" s="165"/>
      <c r="I3" s="167"/>
      <c r="J3" s="261" t="s">
        <v>69</v>
      </c>
      <c r="K3" s="85"/>
      <c r="L3" s="84"/>
      <c r="M3" s="86" t="str">
        <f>CONCATENATE(" ",Input!F27)</f>
        <v xml:space="preserve"> Feed to yield</v>
      </c>
      <c r="N3" s="84"/>
      <c r="O3" s="84"/>
      <c r="P3" s="84"/>
      <c r="Q3" s="87"/>
    </row>
    <row r="4" spans="1:17" s="88" customFormat="1" ht="16.5" x14ac:dyDescent="0.35">
      <c r="A4" s="179"/>
      <c r="B4" s="262" t="s">
        <v>70</v>
      </c>
      <c r="C4" s="166"/>
      <c r="D4" s="165"/>
      <c r="E4" s="168" t="str">
        <f>CONCATENATE(" ",Input!F12, " days")</f>
        <v xml:space="preserve"> 365 days</v>
      </c>
      <c r="F4" s="165"/>
      <c r="G4" s="165"/>
      <c r="H4" s="165"/>
      <c r="I4" s="167"/>
      <c r="J4" s="261" t="s">
        <v>70</v>
      </c>
      <c r="K4" s="85"/>
      <c r="L4" s="84"/>
      <c r="M4" s="86" t="str">
        <f>CONCATENATE(" ",Input!F25, " days")</f>
        <v xml:space="preserve"> 365 days</v>
      </c>
      <c r="N4" s="84"/>
      <c r="O4" s="84"/>
      <c r="P4" s="84"/>
      <c r="Q4" s="89"/>
    </row>
    <row r="5" spans="1:17" s="88" customFormat="1" ht="16.5" x14ac:dyDescent="0.35">
      <c r="A5" s="179"/>
      <c r="B5" s="262" t="s">
        <v>122</v>
      </c>
      <c r="C5" s="166"/>
      <c r="D5" s="165"/>
      <c r="E5" s="168" t="str">
        <f>CONCATENATE(" ",Input!F13, " days")</f>
        <v xml:space="preserve"> 60 days</v>
      </c>
      <c r="F5" s="165"/>
      <c r="G5" s="165"/>
      <c r="H5" s="165"/>
      <c r="I5" s="167"/>
      <c r="J5" s="261" t="s">
        <v>122</v>
      </c>
      <c r="K5" s="85"/>
      <c r="L5" s="84"/>
      <c r="M5" s="86" t="str">
        <f>CONCATENATE(" ",Input!F26, " days")</f>
        <v xml:space="preserve"> 60 days</v>
      </c>
      <c r="N5" s="84"/>
      <c r="O5" s="84"/>
      <c r="P5" s="84"/>
      <c r="Q5" s="89"/>
    </row>
    <row r="6" spans="1:17" s="23" customFormat="1" ht="47" thickBot="1" x14ac:dyDescent="0.3">
      <c r="A6" s="180"/>
      <c r="B6" s="169" t="s">
        <v>24</v>
      </c>
      <c r="C6" s="170" t="s">
        <v>90</v>
      </c>
      <c r="D6" s="171" t="s">
        <v>66</v>
      </c>
      <c r="E6" s="170" t="s">
        <v>65</v>
      </c>
      <c r="F6" s="170" t="s">
        <v>84</v>
      </c>
      <c r="G6" s="172" t="s">
        <v>150</v>
      </c>
      <c r="H6" s="172" t="s">
        <v>131</v>
      </c>
      <c r="I6" s="173" t="s">
        <v>81</v>
      </c>
      <c r="J6" s="278" t="s">
        <v>90</v>
      </c>
      <c r="K6" s="92" t="s">
        <v>66</v>
      </c>
      <c r="L6" s="58" t="s">
        <v>65</v>
      </c>
      <c r="M6" s="59" t="s">
        <v>84</v>
      </c>
      <c r="N6" s="58" t="s">
        <v>150</v>
      </c>
      <c r="O6" s="58" t="s">
        <v>131</v>
      </c>
      <c r="P6" s="58" t="s">
        <v>81</v>
      </c>
      <c r="Q6" s="97" t="s">
        <v>82</v>
      </c>
    </row>
    <row r="7" spans="1:17" ht="14" x14ac:dyDescent="0.3">
      <c r="A7" s="203">
        <f>Input!F9</f>
        <v>45412</v>
      </c>
      <c r="B7" s="181">
        <f>DAY(A7)</f>
        <v>30</v>
      </c>
      <c r="C7" s="182">
        <f>'Hidden calculation original'!S5+'Hidden calculation original'!AJ5</f>
        <v>130</v>
      </c>
      <c r="D7" s="183">
        <f>'Hidden calculation original'!AV5*Output!I7*B7</f>
        <v>82191.780821917826</v>
      </c>
      <c r="E7" s="202">
        <f>IF(C7=0,0,D7/$B7/C7)</f>
        <v>21.074815595363546</v>
      </c>
      <c r="F7" s="266">
        <f>D7*'Calving input'!E18/100</f>
        <v>23013.698630136991</v>
      </c>
      <c r="G7" s="285">
        <f>C7*'Calving input'!G18*B7</f>
        <v>28860</v>
      </c>
      <c r="H7" s="267">
        <f>G7*'Calving input'!F18</f>
        <v>5772</v>
      </c>
      <c r="I7" s="30">
        <v>1</v>
      </c>
      <c r="J7" s="60">
        <f>'Hidden calculation alter'!S5+'Hidden calculation alter'!AJ5</f>
        <v>78</v>
      </c>
      <c r="K7" s="93">
        <f>'Hidden calculation alter'!AV5*P7*B7</f>
        <v>56733.731966727479</v>
      </c>
      <c r="L7" s="61">
        <f t="shared" ref="L7:L19" si="0">IF(J7=0,0,K7/B7/J7)</f>
        <v>24.24518460116559</v>
      </c>
      <c r="M7" s="272">
        <f>K7*'Calving input'!J18/100</f>
        <v>15885.444950683694</v>
      </c>
      <c r="N7" s="289">
        <f>J7*'Calving input'!L18*B7</f>
        <v>17316</v>
      </c>
      <c r="O7" s="273">
        <f>N7*'Calving input'!K18</f>
        <v>3463.2000000000003</v>
      </c>
      <c r="P7" s="31">
        <v>1</v>
      </c>
      <c r="Q7" s="98">
        <f t="shared" ref="Q7:Q19" si="1">K7-D7</f>
        <v>-25458.048855190347</v>
      </c>
    </row>
    <row r="8" spans="1:17" ht="14" x14ac:dyDescent="0.3">
      <c r="A8" s="203">
        <f t="shared" ref="A8:A18" si="2">EOMONTH(A7,1)</f>
        <v>45443</v>
      </c>
      <c r="B8" s="184">
        <f t="shared" ref="B8:B18" si="3">DAY(A8)</f>
        <v>31</v>
      </c>
      <c r="C8" s="182">
        <f>'Hidden calculation original'!S6+'Hidden calculation original'!AJ6</f>
        <v>130</v>
      </c>
      <c r="D8" s="186">
        <f>'Hidden calculation original'!AV6*Output!I8*B8</f>
        <v>84931.50684931509</v>
      </c>
      <c r="E8" s="202">
        <f t="shared" ref="E8:E19" si="4">IF(C8=0,0,D8/$B8/C8)</f>
        <v>21.074815595363546</v>
      </c>
      <c r="F8" s="267">
        <f>D8*'Calving input'!E19/100</f>
        <v>23780.821917808222</v>
      </c>
      <c r="G8" s="285">
        <f>C8*'Calving input'!G19*B8</f>
        <v>29822</v>
      </c>
      <c r="H8" s="267">
        <f>G8*'Calving input'!F19</f>
        <v>5964.4000000000005</v>
      </c>
      <c r="I8" s="29">
        <v>1</v>
      </c>
      <c r="J8" s="60">
        <f>'Hidden calculation alter'!S6+'Hidden calculation alter'!AJ6</f>
        <v>78</v>
      </c>
      <c r="K8" s="94">
        <f>'Hidden calculation alter'!AV6*P8*B8</f>
        <v>58624.856365618391</v>
      </c>
      <c r="L8" s="61">
        <f t="shared" si="0"/>
        <v>24.24518460116559</v>
      </c>
      <c r="M8" s="273">
        <f>K8*'Calving input'!J19/100</f>
        <v>16414.959782373149</v>
      </c>
      <c r="N8" s="289">
        <f>J8*'Calving input'!L19*B8</f>
        <v>17893.2</v>
      </c>
      <c r="O8" s="273">
        <f>N8*'Calving input'!K19</f>
        <v>3578.6400000000003</v>
      </c>
      <c r="P8" s="2">
        <v>1</v>
      </c>
      <c r="Q8" s="99">
        <f t="shared" si="1"/>
        <v>-26306.6504836967</v>
      </c>
    </row>
    <row r="9" spans="1:17" ht="14" x14ac:dyDescent="0.3">
      <c r="A9" s="203">
        <f t="shared" si="2"/>
        <v>45473</v>
      </c>
      <c r="B9" s="184">
        <f t="shared" si="3"/>
        <v>30</v>
      </c>
      <c r="C9" s="182">
        <f>'Hidden calculation original'!S7+'Hidden calculation original'!AJ7</f>
        <v>130</v>
      </c>
      <c r="D9" s="186">
        <f>'Hidden calculation original'!AV7*Output!I9*B9</f>
        <v>82191.780821917826</v>
      </c>
      <c r="E9" s="202">
        <f t="shared" si="4"/>
        <v>21.074815595363546</v>
      </c>
      <c r="F9" s="267">
        <f>D9*'Calving input'!E20/100</f>
        <v>23013.698630136991</v>
      </c>
      <c r="G9" s="285">
        <f>C9*'Calving input'!G20*B9</f>
        <v>28860</v>
      </c>
      <c r="H9" s="267">
        <f>G9*'Calving input'!F20</f>
        <v>5772</v>
      </c>
      <c r="I9" s="29">
        <v>1</v>
      </c>
      <c r="J9" s="60">
        <f>'Hidden calculation alter'!S7+'Hidden calculation alter'!AJ7</f>
        <v>78</v>
      </c>
      <c r="K9" s="94">
        <f>'Hidden calculation alter'!AV7*P9*B9</f>
        <v>56733.731966727479</v>
      </c>
      <c r="L9" s="61">
        <f t="shared" si="0"/>
        <v>24.24518460116559</v>
      </c>
      <c r="M9" s="273">
        <f>K9*'Calving input'!J20/100</f>
        <v>15885.444950683694</v>
      </c>
      <c r="N9" s="289">
        <f>J9*'Calving input'!L20*B9</f>
        <v>17316</v>
      </c>
      <c r="O9" s="273">
        <f>N9*'Calving input'!K20</f>
        <v>3463.2000000000003</v>
      </c>
      <c r="P9" s="2">
        <v>1</v>
      </c>
      <c r="Q9" s="99">
        <f t="shared" si="1"/>
        <v>-25458.048855190347</v>
      </c>
    </row>
    <row r="10" spans="1:17" ht="14" x14ac:dyDescent="0.3">
      <c r="A10" s="203">
        <f t="shared" si="2"/>
        <v>45504</v>
      </c>
      <c r="B10" s="184">
        <f t="shared" si="3"/>
        <v>31</v>
      </c>
      <c r="C10" s="182">
        <f>'Hidden calculation original'!S8+'Hidden calculation original'!AJ8</f>
        <v>130</v>
      </c>
      <c r="D10" s="186">
        <f>'Hidden calculation original'!AV8*Output!I10*B10</f>
        <v>84931.50684931509</v>
      </c>
      <c r="E10" s="202">
        <f t="shared" si="4"/>
        <v>21.074815595363546</v>
      </c>
      <c r="F10" s="267">
        <f>D10*'Calving input'!E21/100</f>
        <v>23780.821917808222</v>
      </c>
      <c r="G10" s="285">
        <f>C10*'Calving input'!G21*B10</f>
        <v>29822</v>
      </c>
      <c r="H10" s="267">
        <f>G10*'Calving input'!F21</f>
        <v>5964.4000000000005</v>
      </c>
      <c r="I10" s="29">
        <v>1</v>
      </c>
      <c r="J10" s="60">
        <f>'Hidden calculation alter'!S8+'Hidden calculation alter'!AJ8</f>
        <v>78</v>
      </c>
      <c r="K10" s="94">
        <f>'Hidden calculation alter'!AV8*P10*B10</f>
        <v>58624.856365618391</v>
      </c>
      <c r="L10" s="61">
        <f t="shared" si="0"/>
        <v>24.24518460116559</v>
      </c>
      <c r="M10" s="273">
        <f>K10*'Calving input'!J21/100</f>
        <v>16414.959782373149</v>
      </c>
      <c r="N10" s="289">
        <f>J10*'Calving input'!L21*B10</f>
        <v>17893.2</v>
      </c>
      <c r="O10" s="273">
        <f>N10*'Calving input'!K21</f>
        <v>3578.6400000000003</v>
      </c>
      <c r="P10" s="2">
        <v>1</v>
      </c>
      <c r="Q10" s="99">
        <f t="shared" si="1"/>
        <v>-26306.6504836967</v>
      </c>
    </row>
    <row r="11" spans="1:17" ht="14" x14ac:dyDescent="0.3">
      <c r="A11" s="203">
        <f t="shared" si="2"/>
        <v>45535</v>
      </c>
      <c r="B11" s="184">
        <f t="shared" si="3"/>
        <v>31</v>
      </c>
      <c r="C11" s="182">
        <f>'Hidden calculation original'!S9+'Hidden calculation original'!AJ9</f>
        <v>130</v>
      </c>
      <c r="D11" s="186">
        <f>'Hidden calculation original'!AV9*Output!I11*B11</f>
        <v>84931.50684931509</v>
      </c>
      <c r="E11" s="202">
        <f t="shared" si="4"/>
        <v>21.074815595363546</v>
      </c>
      <c r="F11" s="267">
        <f>D11*'Calving input'!E22/100</f>
        <v>23780.821917808222</v>
      </c>
      <c r="G11" s="285">
        <f>C11*'Calving input'!G22*B11</f>
        <v>29822</v>
      </c>
      <c r="H11" s="267">
        <f>G11*'Calving input'!F22</f>
        <v>5964.4000000000005</v>
      </c>
      <c r="I11" s="29">
        <v>1</v>
      </c>
      <c r="J11" s="60">
        <f>'Hidden calculation alter'!S9+'Hidden calculation alter'!AJ9</f>
        <v>78</v>
      </c>
      <c r="K11" s="94">
        <f>'Hidden calculation alter'!AV9*P11*B11</f>
        <v>58624.856365618391</v>
      </c>
      <c r="L11" s="61">
        <f t="shared" si="0"/>
        <v>24.24518460116559</v>
      </c>
      <c r="M11" s="273">
        <f>K11*'Calving input'!J22/100</f>
        <v>16414.959782373149</v>
      </c>
      <c r="N11" s="289">
        <f>J11*'Calving input'!L22*B11</f>
        <v>17893.2</v>
      </c>
      <c r="O11" s="273">
        <f>N11*'Calving input'!K22</f>
        <v>3578.6400000000003</v>
      </c>
      <c r="P11" s="2">
        <v>1</v>
      </c>
      <c r="Q11" s="99">
        <f t="shared" si="1"/>
        <v>-26306.6504836967</v>
      </c>
    </row>
    <row r="12" spans="1:17" ht="14" x14ac:dyDescent="0.3">
      <c r="A12" s="203">
        <f t="shared" si="2"/>
        <v>45565</v>
      </c>
      <c r="B12" s="184">
        <f t="shared" si="3"/>
        <v>30</v>
      </c>
      <c r="C12" s="182">
        <f>'Hidden calculation original'!S10+'Hidden calculation original'!AJ10</f>
        <v>130</v>
      </c>
      <c r="D12" s="186">
        <f>'Hidden calculation original'!AV10*Output!I12*B12</f>
        <v>82191.780821917826</v>
      </c>
      <c r="E12" s="202">
        <f t="shared" si="4"/>
        <v>21.074815595363546</v>
      </c>
      <c r="F12" s="267">
        <f>D12*'Calving input'!E23/100</f>
        <v>23013.698630136991</v>
      </c>
      <c r="G12" s="285">
        <f>C12*'Calving input'!G23*B12</f>
        <v>28860</v>
      </c>
      <c r="H12" s="267">
        <f>G12*'Calving input'!F23</f>
        <v>5772</v>
      </c>
      <c r="I12" s="29">
        <v>1</v>
      </c>
      <c r="J12" s="60">
        <f>'Hidden calculation alter'!S10+'Hidden calculation alter'!AJ10</f>
        <v>78</v>
      </c>
      <c r="K12" s="94">
        <f>'Hidden calculation alter'!AV10*P12*B12</f>
        <v>56733.731966727479</v>
      </c>
      <c r="L12" s="61">
        <f t="shared" si="0"/>
        <v>24.24518460116559</v>
      </c>
      <c r="M12" s="273">
        <f>K12*'Calving input'!J23/100</f>
        <v>15885.444950683694</v>
      </c>
      <c r="N12" s="289">
        <f>J12*'Calving input'!L23*B12</f>
        <v>17316</v>
      </c>
      <c r="O12" s="273">
        <f>N12*'Calving input'!K23</f>
        <v>3463.2000000000003</v>
      </c>
      <c r="P12" s="2">
        <v>1</v>
      </c>
      <c r="Q12" s="99">
        <f t="shared" si="1"/>
        <v>-25458.048855190347</v>
      </c>
    </row>
    <row r="13" spans="1:17" ht="14" x14ac:dyDescent="0.3">
      <c r="A13" s="203">
        <f t="shared" si="2"/>
        <v>45596</v>
      </c>
      <c r="B13" s="184">
        <f t="shared" si="3"/>
        <v>31</v>
      </c>
      <c r="C13" s="182">
        <f>'Hidden calculation original'!S11+'Hidden calculation original'!AJ11</f>
        <v>130</v>
      </c>
      <c r="D13" s="186">
        <f>'Hidden calculation original'!AV11*Output!I13*B13</f>
        <v>84931.50684931509</v>
      </c>
      <c r="E13" s="202">
        <f t="shared" si="4"/>
        <v>21.074815595363546</v>
      </c>
      <c r="F13" s="267">
        <f>D13*'Calving input'!E24/100</f>
        <v>23780.821917808222</v>
      </c>
      <c r="G13" s="285">
        <f>C13*'Calving input'!G24*B13</f>
        <v>29822</v>
      </c>
      <c r="H13" s="267">
        <f>G13*'Calving input'!F24</f>
        <v>5964.4000000000005</v>
      </c>
      <c r="I13" s="29">
        <v>1</v>
      </c>
      <c r="J13" s="60">
        <f>'Hidden calculation alter'!S11+'Hidden calculation alter'!AJ11</f>
        <v>78</v>
      </c>
      <c r="K13" s="94">
        <f>'Hidden calculation alter'!AV11*P13*B13</f>
        <v>58624.856365618391</v>
      </c>
      <c r="L13" s="61">
        <f t="shared" si="0"/>
        <v>24.24518460116559</v>
      </c>
      <c r="M13" s="273">
        <f>K13*'Calving input'!J24/100</f>
        <v>16414.959782373149</v>
      </c>
      <c r="N13" s="289">
        <f>J13*'Calving input'!L24*B13</f>
        <v>17893.2</v>
      </c>
      <c r="O13" s="273">
        <f>N13*'Calving input'!K24</f>
        <v>3578.6400000000003</v>
      </c>
      <c r="P13" s="2">
        <v>1</v>
      </c>
      <c r="Q13" s="99">
        <f t="shared" si="1"/>
        <v>-26306.6504836967</v>
      </c>
    </row>
    <row r="14" spans="1:17" ht="14" x14ac:dyDescent="0.3">
      <c r="A14" s="203">
        <f t="shared" si="2"/>
        <v>45626</v>
      </c>
      <c r="B14" s="184">
        <f t="shared" si="3"/>
        <v>30</v>
      </c>
      <c r="C14" s="182">
        <f>'Hidden calculation original'!S12+'Hidden calculation original'!AJ12</f>
        <v>130</v>
      </c>
      <c r="D14" s="186">
        <f>'Hidden calculation original'!AV12*Output!I14*B14</f>
        <v>82191.780821917826</v>
      </c>
      <c r="E14" s="202">
        <f t="shared" si="4"/>
        <v>21.074815595363546</v>
      </c>
      <c r="F14" s="267">
        <f>D14*'Calving input'!E25/100</f>
        <v>23013.698630136991</v>
      </c>
      <c r="G14" s="285">
        <f>C14*'Calving input'!G25*B14</f>
        <v>28860</v>
      </c>
      <c r="H14" s="267">
        <f>G14*'Calving input'!F25</f>
        <v>5772</v>
      </c>
      <c r="I14" s="29">
        <v>1</v>
      </c>
      <c r="J14" s="60">
        <f>'Hidden calculation alter'!S12+'Hidden calculation alter'!AJ12</f>
        <v>78</v>
      </c>
      <c r="K14" s="94">
        <f>'Hidden calculation alter'!AV12*P14*B14</f>
        <v>56733.731966727479</v>
      </c>
      <c r="L14" s="61">
        <f t="shared" si="0"/>
        <v>24.24518460116559</v>
      </c>
      <c r="M14" s="273">
        <f>K14*'Calving input'!J25/100</f>
        <v>15885.444950683694</v>
      </c>
      <c r="N14" s="289">
        <f>J14*'Calving input'!L25*B14</f>
        <v>17316</v>
      </c>
      <c r="O14" s="273">
        <f>N14*'Calving input'!K25</f>
        <v>3463.2000000000003</v>
      </c>
      <c r="P14" s="2">
        <v>1</v>
      </c>
      <c r="Q14" s="99">
        <f t="shared" si="1"/>
        <v>-25458.048855190347</v>
      </c>
    </row>
    <row r="15" spans="1:17" ht="14" x14ac:dyDescent="0.3">
      <c r="A15" s="203">
        <f t="shared" si="2"/>
        <v>45657</v>
      </c>
      <c r="B15" s="184">
        <f t="shared" si="3"/>
        <v>31</v>
      </c>
      <c r="C15" s="182">
        <f>'Hidden calculation original'!S13+'Hidden calculation original'!AJ13</f>
        <v>130</v>
      </c>
      <c r="D15" s="186">
        <f>'Hidden calculation original'!AV13*Output!I15*B15</f>
        <v>84931.50684931509</v>
      </c>
      <c r="E15" s="202">
        <f t="shared" si="4"/>
        <v>21.074815595363546</v>
      </c>
      <c r="F15" s="267">
        <f>D15*'Calving input'!E26/100</f>
        <v>23780.821917808222</v>
      </c>
      <c r="G15" s="285">
        <f>C15*'Calving input'!G26*B15</f>
        <v>29822</v>
      </c>
      <c r="H15" s="267">
        <f>G15*'Calving input'!F26</f>
        <v>5964.4000000000005</v>
      </c>
      <c r="I15" s="29">
        <v>1</v>
      </c>
      <c r="J15" s="60">
        <f>'Hidden calculation alter'!S13+'Hidden calculation alter'!AJ13</f>
        <v>78</v>
      </c>
      <c r="K15" s="94">
        <f>'Hidden calculation alter'!AV13*P15*B15</f>
        <v>58624.856365618391</v>
      </c>
      <c r="L15" s="61">
        <f t="shared" si="0"/>
        <v>24.24518460116559</v>
      </c>
      <c r="M15" s="273">
        <f>K15*'Calving input'!J26/100</f>
        <v>16414.959782373149</v>
      </c>
      <c r="N15" s="289">
        <f>J15*'Calving input'!L26*B15</f>
        <v>17893.2</v>
      </c>
      <c r="O15" s="273">
        <f>N15*'Calving input'!K26</f>
        <v>3578.6400000000003</v>
      </c>
      <c r="P15" s="2">
        <v>1</v>
      </c>
      <c r="Q15" s="99">
        <f t="shared" si="1"/>
        <v>-26306.6504836967</v>
      </c>
    </row>
    <row r="16" spans="1:17" ht="14" x14ac:dyDescent="0.3">
      <c r="A16" s="203">
        <f t="shared" si="2"/>
        <v>45688</v>
      </c>
      <c r="B16" s="184">
        <f t="shared" si="3"/>
        <v>31</v>
      </c>
      <c r="C16" s="182">
        <f>'Hidden calculation original'!S14+'Hidden calculation original'!AJ14</f>
        <v>130</v>
      </c>
      <c r="D16" s="186">
        <f>'Hidden calculation original'!AV14*Output!I16*B16</f>
        <v>84931.50684931509</v>
      </c>
      <c r="E16" s="202">
        <f t="shared" si="4"/>
        <v>21.074815595363546</v>
      </c>
      <c r="F16" s="267">
        <f>D16*'Calving input'!E27/100</f>
        <v>23780.821917808222</v>
      </c>
      <c r="G16" s="285">
        <f>C16*'Calving input'!G27*B16</f>
        <v>29822</v>
      </c>
      <c r="H16" s="267">
        <f>G16*'Calving input'!F27</f>
        <v>5964.4000000000005</v>
      </c>
      <c r="I16" s="29">
        <v>1</v>
      </c>
      <c r="J16" s="60">
        <f>'Hidden calculation alter'!S14+'Hidden calculation alter'!AJ14</f>
        <v>78</v>
      </c>
      <c r="K16" s="94">
        <f>'Hidden calculation alter'!AV14*P16*B16</f>
        <v>58624.856365618391</v>
      </c>
      <c r="L16" s="61">
        <f t="shared" si="0"/>
        <v>24.24518460116559</v>
      </c>
      <c r="M16" s="273">
        <f>K16*'Calving input'!J27/100</f>
        <v>16414.959782373149</v>
      </c>
      <c r="N16" s="289">
        <f>J16*'Calving input'!L27*B16</f>
        <v>17893.2</v>
      </c>
      <c r="O16" s="273">
        <f>N16*'Calving input'!K27</f>
        <v>3578.6400000000003</v>
      </c>
      <c r="P16" s="2">
        <v>1</v>
      </c>
      <c r="Q16" s="99">
        <f t="shared" si="1"/>
        <v>-26306.6504836967</v>
      </c>
    </row>
    <row r="17" spans="1:17" ht="14" x14ac:dyDescent="0.3">
      <c r="A17" s="203">
        <f t="shared" si="2"/>
        <v>45716</v>
      </c>
      <c r="B17" s="184">
        <f t="shared" si="3"/>
        <v>28</v>
      </c>
      <c r="C17" s="182">
        <f>'Hidden calculation original'!S15+'Hidden calculation original'!AJ15</f>
        <v>130</v>
      </c>
      <c r="D17" s="186">
        <f>'Hidden calculation original'!AV15*Output!I17*B17</f>
        <v>76712.328767123312</v>
      </c>
      <c r="E17" s="202">
        <f t="shared" si="4"/>
        <v>21.074815595363546</v>
      </c>
      <c r="F17" s="267">
        <f>D17*'Calving input'!E28/100</f>
        <v>21479.452054794529</v>
      </c>
      <c r="G17" s="285">
        <f>C17*'Calving input'!G28*B17</f>
        <v>26936</v>
      </c>
      <c r="H17" s="267">
        <f>G17*'Calving input'!F28</f>
        <v>5387.2000000000007</v>
      </c>
      <c r="I17" s="29">
        <v>1</v>
      </c>
      <c r="J17" s="60">
        <f>'Hidden calculation alter'!S15+'Hidden calculation alter'!AJ15</f>
        <v>78</v>
      </c>
      <c r="K17" s="94">
        <f>'Hidden calculation alter'!AV15*P17*B17</f>
        <v>52951.483168945648</v>
      </c>
      <c r="L17" s="61">
        <f t="shared" si="0"/>
        <v>24.24518460116559</v>
      </c>
      <c r="M17" s="273">
        <f>K17*'Calving input'!J28/100</f>
        <v>14826.415287304781</v>
      </c>
      <c r="N17" s="289">
        <f>J17*'Calving input'!L28*B17</f>
        <v>16161.600000000002</v>
      </c>
      <c r="O17" s="273">
        <f>N17*'Calving input'!K28</f>
        <v>3232.3200000000006</v>
      </c>
      <c r="P17" s="2">
        <v>1</v>
      </c>
      <c r="Q17" s="99">
        <f t="shared" si="1"/>
        <v>-23760.845598177664</v>
      </c>
    </row>
    <row r="18" spans="1:17" ht="14" x14ac:dyDescent="0.3">
      <c r="A18" s="203">
        <f t="shared" si="2"/>
        <v>45747</v>
      </c>
      <c r="B18" s="184">
        <f t="shared" si="3"/>
        <v>31</v>
      </c>
      <c r="C18" s="182">
        <f>'Hidden calculation original'!S16+'Hidden calculation original'!AJ16</f>
        <v>130</v>
      </c>
      <c r="D18" s="186">
        <f>'Hidden calculation original'!AV16*Output!I18*B18</f>
        <v>84931.50684931509</v>
      </c>
      <c r="E18" s="202">
        <f t="shared" si="4"/>
        <v>21.074815595363546</v>
      </c>
      <c r="F18" s="267">
        <f>D18*'Calving input'!E29/100</f>
        <v>23780.821917808222</v>
      </c>
      <c r="G18" s="285">
        <f>C18*'Calving input'!G29*B18</f>
        <v>29822</v>
      </c>
      <c r="H18" s="267">
        <f>G18*'Calving input'!F29</f>
        <v>5964.4000000000005</v>
      </c>
      <c r="I18" s="29">
        <v>1</v>
      </c>
      <c r="J18" s="60">
        <f>'Hidden calculation alter'!S16+'Hidden calculation alter'!AJ16</f>
        <v>78</v>
      </c>
      <c r="K18" s="94">
        <f>'Hidden calculation alter'!AV16*P18*B18</f>
        <v>58624.856365618391</v>
      </c>
      <c r="L18" s="61">
        <f t="shared" si="0"/>
        <v>24.24518460116559</v>
      </c>
      <c r="M18" s="273">
        <f>K18*'Calving input'!J29/100</f>
        <v>16414.959782373149</v>
      </c>
      <c r="N18" s="289">
        <f>J18*'Calving input'!L29*B18</f>
        <v>17893.2</v>
      </c>
      <c r="O18" s="273">
        <f>N18*'Calving input'!K29</f>
        <v>3578.6400000000003</v>
      </c>
      <c r="P18" s="2">
        <v>1</v>
      </c>
      <c r="Q18" s="99">
        <f t="shared" si="1"/>
        <v>-26306.6504836967</v>
      </c>
    </row>
    <row r="19" spans="1:17" ht="14" x14ac:dyDescent="0.3">
      <c r="A19" s="204" t="s">
        <v>77</v>
      </c>
      <c r="B19" s="187">
        <f>SUM(B7:B18)</f>
        <v>365</v>
      </c>
      <c r="C19" s="188">
        <f>AVERAGE(C7:C18)</f>
        <v>130</v>
      </c>
      <c r="D19" s="186">
        <f>SUM(D7:D18)</f>
        <v>1000000.0000000003</v>
      </c>
      <c r="E19" s="195">
        <f t="shared" si="4"/>
        <v>21.074815595363546</v>
      </c>
      <c r="F19" s="268">
        <f>SUM(F7:F18)</f>
        <v>280000</v>
      </c>
      <c r="G19" s="286">
        <f>SUM(G7:G18)</f>
        <v>351130</v>
      </c>
      <c r="H19" s="268">
        <f>SUM(H7:H18)</f>
        <v>70226</v>
      </c>
      <c r="I19" s="196">
        <f>AVERAGE(I7:I18)</f>
        <v>1</v>
      </c>
      <c r="J19" s="62">
        <f>AVERAGE(J7:J18)</f>
        <v>78</v>
      </c>
      <c r="K19" s="94">
        <f>SUM(K7:K18)</f>
        <v>690260.4055951843</v>
      </c>
      <c r="L19" s="63">
        <f t="shared" si="0"/>
        <v>24.24518460116559</v>
      </c>
      <c r="M19" s="274">
        <f>SUM(M7:M18)</f>
        <v>193272.91356665164</v>
      </c>
      <c r="N19" s="290">
        <f>SUM(N7:N18)</f>
        <v>210678.00000000003</v>
      </c>
      <c r="O19" s="274">
        <f>SUM(O7:O18)</f>
        <v>42135.6</v>
      </c>
      <c r="P19" s="64">
        <f>AVERAGE(P7:P18)</f>
        <v>1</v>
      </c>
      <c r="Q19" s="99">
        <f t="shared" si="1"/>
        <v>-309739.59440481605</v>
      </c>
    </row>
    <row r="20" spans="1:17" ht="15.5" x14ac:dyDescent="0.35">
      <c r="A20" s="205"/>
      <c r="B20" s="189"/>
      <c r="D20" s="190"/>
      <c r="E20" s="197">
        <f>E19*B19</f>
        <v>7692.3076923076942</v>
      </c>
      <c r="F20" s="269" t="s">
        <v>80</v>
      </c>
      <c r="G20" s="287"/>
      <c r="H20" s="271"/>
      <c r="I20" s="176"/>
      <c r="J20" s="57"/>
      <c r="K20" s="95"/>
      <c r="L20" s="65">
        <f>L19*B19</f>
        <v>8849.492379425441</v>
      </c>
      <c r="M20" s="275" t="s">
        <v>80</v>
      </c>
      <c r="N20" s="291"/>
      <c r="O20" s="277"/>
      <c r="P20" s="57"/>
      <c r="Q20" s="100"/>
    </row>
    <row r="21" spans="1:17" x14ac:dyDescent="0.25">
      <c r="A21" s="178"/>
      <c r="B21" s="191"/>
      <c r="D21" s="129"/>
      <c r="E21" s="129"/>
      <c r="F21" s="270"/>
      <c r="G21" s="287"/>
      <c r="H21" s="271"/>
      <c r="I21" s="176"/>
      <c r="J21" s="57"/>
      <c r="K21" s="57"/>
      <c r="L21" s="57"/>
      <c r="M21" s="276"/>
      <c r="N21" s="291"/>
      <c r="O21" s="277"/>
      <c r="P21" s="57"/>
      <c r="Q21" s="100"/>
    </row>
    <row r="22" spans="1:17" ht="14" x14ac:dyDescent="0.3">
      <c r="A22" s="203">
        <f>EOMONTH(A18,1)</f>
        <v>45777</v>
      </c>
      <c r="B22" s="184">
        <f>DAY(A22)</f>
        <v>30</v>
      </c>
      <c r="C22" s="185">
        <f>'Hidden calculation original'!S17+'Hidden calculation original'!AJ17</f>
        <v>130</v>
      </c>
      <c r="D22" s="186">
        <f>'Hidden calculation original'!AV17*Output!I22*B22</f>
        <v>82191.780821917826</v>
      </c>
      <c r="E22" s="201">
        <f>IF(C22=0,0,D22/$B22/C22)</f>
        <v>21.074815595363546</v>
      </c>
      <c r="F22" s="267">
        <f>D22*'Calving input'!E31/100</f>
        <v>23013.698630136991</v>
      </c>
      <c r="G22" s="288">
        <f>C22*'Calving input'!G31*B22</f>
        <v>28860</v>
      </c>
      <c r="H22" s="267">
        <f>G22*'Calving input'!F31</f>
        <v>5772</v>
      </c>
      <c r="I22" s="29">
        <v>1</v>
      </c>
      <c r="J22" s="66">
        <f>'Hidden calculation alter'!S17+'Hidden calculation alter'!AJ17</f>
        <v>78</v>
      </c>
      <c r="K22" s="94">
        <f>'Hidden calculation alter'!AV17*P22*B22</f>
        <v>56733.731966727479</v>
      </c>
      <c r="L22" s="67">
        <f t="shared" ref="L22:L34" si="5">IF(J22=0,0,K22/B22/J22)</f>
        <v>24.24518460116559</v>
      </c>
      <c r="M22" s="273">
        <f>K22*'Calving input'!J31/100</f>
        <v>15885.444950683694</v>
      </c>
      <c r="N22" s="292">
        <f>J22*'Calving input'!L31*B22</f>
        <v>17316</v>
      </c>
      <c r="O22" s="273">
        <f>N22*'Calving input'!K31</f>
        <v>3463.2000000000003</v>
      </c>
      <c r="P22" s="2">
        <v>1</v>
      </c>
      <c r="Q22" s="99">
        <f t="shared" ref="Q22:Q34" si="6">K22-D22</f>
        <v>-25458.048855190347</v>
      </c>
    </row>
    <row r="23" spans="1:17" ht="14" x14ac:dyDescent="0.3">
      <c r="A23" s="203">
        <f t="shared" ref="A23:A33" si="7">EOMONTH(A22,1)</f>
        <v>45808</v>
      </c>
      <c r="B23" s="184">
        <f t="shared" ref="B23:B33" si="8">DAY(A23)</f>
        <v>31</v>
      </c>
      <c r="C23" s="185">
        <f>'Hidden calculation original'!S18+'Hidden calculation original'!AJ18</f>
        <v>130</v>
      </c>
      <c r="D23" s="186">
        <f>'Hidden calculation original'!AV18*Output!I23*B23</f>
        <v>84931.50684931509</v>
      </c>
      <c r="E23" s="202">
        <f t="shared" ref="E23:E34" si="9">IF(C23=0,0,D23/$B23/C23)</f>
        <v>21.074815595363546</v>
      </c>
      <c r="F23" s="267">
        <f>D23*'Calving input'!E32/100</f>
        <v>23780.821917808222</v>
      </c>
      <c r="G23" s="288">
        <f>C23*'Calving input'!G32*B23</f>
        <v>29822</v>
      </c>
      <c r="H23" s="267">
        <f>G23*'Calving input'!F32</f>
        <v>5964.4000000000005</v>
      </c>
      <c r="I23" s="29">
        <v>1</v>
      </c>
      <c r="J23" s="66">
        <f>'Hidden calculation alter'!S18+'Hidden calculation alter'!AJ18</f>
        <v>78</v>
      </c>
      <c r="K23" s="94">
        <f>'Hidden calculation alter'!AV18*P23*B23</f>
        <v>58624.856365618391</v>
      </c>
      <c r="L23" s="61">
        <f t="shared" si="5"/>
        <v>24.24518460116559</v>
      </c>
      <c r="M23" s="273">
        <f>K23*'Calving input'!J32/100</f>
        <v>16414.959782373149</v>
      </c>
      <c r="N23" s="292">
        <f>J23*'Calving input'!L32*B23</f>
        <v>17893.2</v>
      </c>
      <c r="O23" s="273">
        <f>N23*'Calving input'!K32</f>
        <v>3578.6400000000003</v>
      </c>
      <c r="P23" s="2">
        <v>1</v>
      </c>
      <c r="Q23" s="99">
        <f t="shared" si="6"/>
        <v>-26306.6504836967</v>
      </c>
    </row>
    <row r="24" spans="1:17" ht="14" x14ac:dyDescent="0.3">
      <c r="A24" s="203">
        <f t="shared" si="7"/>
        <v>45838</v>
      </c>
      <c r="B24" s="184">
        <f t="shared" si="8"/>
        <v>30</v>
      </c>
      <c r="C24" s="185">
        <f>'Hidden calculation original'!S19+'Hidden calculation original'!AJ19</f>
        <v>130</v>
      </c>
      <c r="D24" s="186">
        <f>'Hidden calculation original'!AV19*Output!I24*B24</f>
        <v>82191.780821917826</v>
      </c>
      <c r="E24" s="202">
        <f t="shared" si="9"/>
        <v>21.074815595363546</v>
      </c>
      <c r="F24" s="267">
        <f>D24*'Calving input'!E33/100</f>
        <v>23013.698630136991</v>
      </c>
      <c r="G24" s="288">
        <f>C24*'Calving input'!G33*B24</f>
        <v>28860</v>
      </c>
      <c r="H24" s="267">
        <f>G24*'Calving input'!F33</f>
        <v>5772</v>
      </c>
      <c r="I24" s="29">
        <v>1</v>
      </c>
      <c r="J24" s="66">
        <f>'Hidden calculation alter'!S19+'Hidden calculation alter'!AJ19</f>
        <v>78</v>
      </c>
      <c r="K24" s="94">
        <f>'Hidden calculation alter'!AV19*P24*B24</f>
        <v>56733.731966727479</v>
      </c>
      <c r="L24" s="61">
        <f t="shared" si="5"/>
        <v>24.24518460116559</v>
      </c>
      <c r="M24" s="273">
        <f>K24*'Calving input'!J33/100</f>
        <v>15885.444950683694</v>
      </c>
      <c r="N24" s="292">
        <f>J24*'Calving input'!L33*B24</f>
        <v>17316</v>
      </c>
      <c r="O24" s="273">
        <f>N24*'Calving input'!K33</f>
        <v>3463.2000000000003</v>
      </c>
      <c r="P24" s="2">
        <v>1</v>
      </c>
      <c r="Q24" s="99">
        <f t="shared" si="6"/>
        <v>-25458.048855190347</v>
      </c>
    </row>
    <row r="25" spans="1:17" ht="14" x14ac:dyDescent="0.3">
      <c r="A25" s="203">
        <f t="shared" si="7"/>
        <v>45869</v>
      </c>
      <c r="B25" s="184">
        <f t="shared" si="8"/>
        <v>31</v>
      </c>
      <c r="C25" s="185">
        <f>'Hidden calculation original'!S20+'Hidden calculation original'!AJ20</f>
        <v>130</v>
      </c>
      <c r="D25" s="186">
        <f>'Hidden calculation original'!AV20*Output!I25*B25</f>
        <v>84931.50684931509</v>
      </c>
      <c r="E25" s="202">
        <f t="shared" si="9"/>
        <v>21.074815595363546</v>
      </c>
      <c r="F25" s="267">
        <f>D25*'Calving input'!E34/100</f>
        <v>23780.821917808222</v>
      </c>
      <c r="G25" s="288">
        <f>C25*'Calving input'!G34*B25</f>
        <v>29822</v>
      </c>
      <c r="H25" s="267">
        <f>G25*'Calving input'!F34</f>
        <v>5964.4000000000005</v>
      </c>
      <c r="I25" s="29">
        <v>1</v>
      </c>
      <c r="J25" s="66">
        <f>'Hidden calculation alter'!S20+'Hidden calculation alter'!AJ20</f>
        <v>78</v>
      </c>
      <c r="K25" s="94">
        <f>'Hidden calculation alter'!AV20*P25*B25</f>
        <v>58624.856365618391</v>
      </c>
      <c r="L25" s="61">
        <f t="shared" si="5"/>
        <v>24.24518460116559</v>
      </c>
      <c r="M25" s="273">
        <f>K25*'Calving input'!J34/100</f>
        <v>16414.959782373149</v>
      </c>
      <c r="N25" s="292">
        <f>J25*'Calving input'!L34*B25</f>
        <v>17893.2</v>
      </c>
      <c r="O25" s="273">
        <f>N25*'Calving input'!K34</f>
        <v>3578.6400000000003</v>
      </c>
      <c r="P25" s="2">
        <v>1</v>
      </c>
      <c r="Q25" s="99">
        <f t="shared" si="6"/>
        <v>-26306.6504836967</v>
      </c>
    </row>
    <row r="26" spans="1:17" ht="14" x14ac:dyDescent="0.3">
      <c r="A26" s="203">
        <f t="shared" si="7"/>
        <v>45900</v>
      </c>
      <c r="B26" s="184">
        <f t="shared" si="8"/>
        <v>31</v>
      </c>
      <c r="C26" s="185">
        <f>'Hidden calculation original'!S21+'Hidden calculation original'!AJ21</f>
        <v>130</v>
      </c>
      <c r="D26" s="186">
        <f>'Hidden calculation original'!AV21*Output!I26*B26</f>
        <v>84931.50684931509</v>
      </c>
      <c r="E26" s="202">
        <f t="shared" si="9"/>
        <v>21.074815595363546</v>
      </c>
      <c r="F26" s="267">
        <f>D26*'Calving input'!E35/100</f>
        <v>23780.821917808222</v>
      </c>
      <c r="G26" s="288">
        <f>C26*'Calving input'!G35*B26</f>
        <v>29822</v>
      </c>
      <c r="H26" s="267">
        <f>G26*'Calving input'!F35</f>
        <v>5964.4000000000005</v>
      </c>
      <c r="I26" s="29">
        <v>1</v>
      </c>
      <c r="J26" s="66">
        <f>'Hidden calculation alter'!S21+'Hidden calculation alter'!AJ21</f>
        <v>78</v>
      </c>
      <c r="K26" s="94">
        <f>'Hidden calculation alter'!AV21*P26*B26</f>
        <v>58624.856365618391</v>
      </c>
      <c r="L26" s="61">
        <f t="shared" si="5"/>
        <v>24.24518460116559</v>
      </c>
      <c r="M26" s="273">
        <f>K26*'Calving input'!J35/100</f>
        <v>16414.959782373149</v>
      </c>
      <c r="N26" s="292">
        <f>J26*'Calving input'!L35*B26</f>
        <v>17893.2</v>
      </c>
      <c r="O26" s="273">
        <f>N26*'Calving input'!K35</f>
        <v>3578.6400000000003</v>
      </c>
      <c r="P26" s="2">
        <v>1</v>
      </c>
      <c r="Q26" s="99">
        <f t="shared" si="6"/>
        <v>-26306.6504836967</v>
      </c>
    </row>
    <row r="27" spans="1:17" ht="14" x14ac:dyDescent="0.3">
      <c r="A27" s="203">
        <f t="shared" si="7"/>
        <v>45930</v>
      </c>
      <c r="B27" s="184">
        <f t="shared" si="8"/>
        <v>30</v>
      </c>
      <c r="C27" s="185">
        <f>'Hidden calculation original'!S22+'Hidden calculation original'!AJ22</f>
        <v>130</v>
      </c>
      <c r="D27" s="186">
        <f>'Hidden calculation original'!AV22*Output!I27*B27</f>
        <v>82191.780821917826</v>
      </c>
      <c r="E27" s="202">
        <f t="shared" si="9"/>
        <v>21.074815595363546</v>
      </c>
      <c r="F27" s="267">
        <f>D27*'Calving input'!E36/100</f>
        <v>23013.698630136991</v>
      </c>
      <c r="G27" s="288">
        <f>C27*'Calving input'!G36*B27</f>
        <v>28860</v>
      </c>
      <c r="H27" s="267">
        <f>G27*'Calving input'!F36</f>
        <v>5772</v>
      </c>
      <c r="I27" s="29">
        <v>1</v>
      </c>
      <c r="J27" s="66">
        <f>'Hidden calculation alter'!S22+'Hidden calculation alter'!AJ22</f>
        <v>78</v>
      </c>
      <c r="K27" s="94">
        <f>'Hidden calculation alter'!AV22*P27*B27</f>
        <v>56733.731966727479</v>
      </c>
      <c r="L27" s="61">
        <f t="shared" si="5"/>
        <v>24.24518460116559</v>
      </c>
      <c r="M27" s="273">
        <f>K27*'Calving input'!J36/100</f>
        <v>15885.444950683694</v>
      </c>
      <c r="N27" s="292">
        <f>J27*'Calving input'!L36*B27</f>
        <v>17316</v>
      </c>
      <c r="O27" s="273">
        <f>N27*'Calving input'!K36</f>
        <v>3463.2000000000003</v>
      </c>
      <c r="P27" s="2">
        <v>1</v>
      </c>
      <c r="Q27" s="99">
        <f t="shared" si="6"/>
        <v>-25458.048855190347</v>
      </c>
    </row>
    <row r="28" spans="1:17" ht="14" x14ac:dyDescent="0.3">
      <c r="A28" s="203">
        <f t="shared" si="7"/>
        <v>45961</v>
      </c>
      <c r="B28" s="184">
        <f t="shared" si="8"/>
        <v>31</v>
      </c>
      <c r="C28" s="185">
        <f>'Hidden calculation original'!S23+'Hidden calculation original'!AJ23</f>
        <v>130</v>
      </c>
      <c r="D28" s="186">
        <f>'Hidden calculation original'!AV23*Output!I28*B28</f>
        <v>84931.50684931509</v>
      </c>
      <c r="E28" s="202">
        <f t="shared" si="9"/>
        <v>21.074815595363546</v>
      </c>
      <c r="F28" s="267">
        <f>D28*'Calving input'!E37/100</f>
        <v>23780.821917808222</v>
      </c>
      <c r="G28" s="288">
        <f>C28*'Calving input'!G37*B28</f>
        <v>29822</v>
      </c>
      <c r="H28" s="267">
        <f>G28*'Calving input'!F37</f>
        <v>5964.4000000000005</v>
      </c>
      <c r="I28" s="29">
        <v>1</v>
      </c>
      <c r="J28" s="66">
        <f>'Hidden calculation alter'!S23+'Hidden calculation alter'!AJ23</f>
        <v>78</v>
      </c>
      <c r="K28" s="94">
        <f>'Hidden calculation alter'!AV23*P28*B28</f>
        <v>58624.856365618391</v>
      </c>
      <c r="L28" s="61">
        <f t="shared" si="5"/>
        <v>24.24518460116559</v>
      </c>
      <c r="M28" s="273">
        <f>K28*'Calving input'!J37/100</f>
        <v>16414.959782373149</v>
      </c>
      <c r="N28" s="292">
        <f>J28*'Calving input'!L37*B28</f>
        <v>17893.2</v>
      </c>
      <c r="O28" s="273">
        <f>N28*'Calving input'!K37</f>
        <v>3578.6400000000003</v>
      </c>
      <c r="P28" s="2">
        <v>1</v>
      </c>
      <c r="Q28" s="99">
        <f t="shared" si="6"/>
        <v>-26306.6504836967</v>
      </c>
    </row>
    <row r="29" spans="1:17" ht="14" x14ac:dyDescent="0.3">
      <c r="A29" s="203">
        <f t="shared" si="7"/>
        <v>45991</v>
      </c>
      <c r="B29" s="184">
        <f t="shared" si="8"/>
        <v>30</v>
      </c>
      <c r="C29" s="185">
        <f>'Hidden calculation original'!S24+'Hidden calculation original'!AJ24</f>
        <v>130</v>
      </c>
      <c r="D29" s="186">
        <f>'Hidden calculation original'!AV24*Output!I29*B29</f>
        <v>82191.780821917826</v>
      </c>
      <c r="E29" s="202">
        <f t="shared" si="9"/>
        <v>21.074815595363546</v>
      </c>
      <c r="F29" s="267">
        <f>D29*'Calving input'!E38/100</f>
        <v>23013.698630136991</v>
      </c>
      <c r="G29" s="288">
        <f>C29*'Calving input'!G38*B29</f>
        <v>28860</v>
      </c>
      <c r="H29" s="267">
        <f>G29*'Calving input'!F38</f>
        <v>5772</v>
      </c>
      <c r="I29" s="29">
        <v>1</v>
      </c>
      <c r="J29" s="66">
        <f>'Hidden calculation alter'!S24+'Hidden calculation alter'!AJ24</f>
        <v>78</v>
      </c>
      <c r="K29" s="94">
        <f>'Hidden calculation alter'!AV24*P29*B29</f>
        <v>56733.731966727479</v>
      </c>
      <c r="L29" s="61">
        <f t="shared" si="5"/>
        <v>24.24518460116559</v>
      </c>
      <c r="M29" s="273">
        <f>K29*'Calving input'!J38/100</f>
        <v>15885.444950683694</v>
      </c>
      <c r="N29" s="292">
        <f>J29*'Calving input'!L38*B29</f>
        <v>17316</v>
      </c>
      <c r="O29" s="273">
        <f>N29*'Calving input'!K38</f>
        <v>3463.2000000000003</v>
      </c>
      <c r="P29" s="2">
        <v>1</v>
      </c>
      <c r="Q29" s="99">
        <f t="shared" si="6"/>
        <v>-25458.048855190347</v>
      </c>
    </row>
    <row r="30" spans="1:17" ht="14" x14ac:dyDescent="0.3">
      <c r="A30" s="203">
        <f t="shared" si="7"/>
        <v>46022</v>
      </c>
      <c r="B30" s="184">
        <f t="shared" si="8"/>
        <v>31</v>
      </c>
      <c r="C30" s="185">
        <f>'Hidden calculation original'!S25+'Hidden calculation original'!AJ25</f>
        <v>130</v>
      </c>
      <c r="D30" s="186">
        <f>'Hidden calculation original'!AV25*Output!I30*B30</f>
        <v>84931.50684931509</v>
      </c>
      <c r="E30" s="202">
        <f t="shared" si="9"/>
        <v>21.074815595363546</v>
      </c>
      <c r="F30" s="267">
        <f>D30*'Calving input'!E39/100</f>
        <v>23780.821917808222</v>
      </c>
      <c r="G30" s="288">
        <f>C30*'Calving input'!G39*B30</f>
        <v>29822</v>
      </c>
      <c r="H30" s="267">
        <f>G30*'Calving input'!F39</f>
        <v>5964.4000000000005</v>
      </c>
      <c r="I30" s="29">
        <v>1</v>
      </c>
      <c r="J30" s="66">
        <f>'Hidden calculation alter'!S25+'Hidden calculation alter'!AJ25</f>
        <v>78</v>
      </c>
      <c r="K30" s="94">
        <f>'Hidden calculation alter'!AV25*P30*B30</f>
        <v>58624.856365618391</v>
      </c>
      <c r="L30" s="61">
        <f t="shared" si="5"/>
        <v>24.24518460116559</v>
      </c>
      <c r="M30" s="273">
        <f>K30*'Calving input'!J39/100</f>
        <v>16414.959782373149</v>
      </c>
      <c r="N30" s="292">
        <f>J30*'Calving input'!L39*B30</f>
        <v>17893.2</v>
      </c>
      <c r="O30" s="273">
        <f>N30*'Calving input'!K39</f>
        <v>3578.6400000000003</v>
      </c>
      <c r="P30" s="2">
        <v>1</v>
      </c>
      <c r="Q30" s="99">
        <f t="shared" si="6"/>
        <v>-26306.6504836967</v>
      </c>
    </row>
    <row r="31" spans="1:17" ht="14" x14ac:dyDescent="0.3">
      <c r="A31" s="203">
        <f t="shared" si="7"/>
        <v>46053</v>
      </c>
      <c r="B31" s="184">
        <f t="shared" si="8"/>
        <v>31</v>
      </c>
      <c r="C31" s="185">
        <f>'Hidden calculation original'!S26+'Hidden calculation original'!AJ26</f>
        <v>130</v>
      </c>
      <c r="D31" s="186">
        <f>'Hidden calculation original'!AV26*Output!I31*B31</f>
        <v>84931.50684931509</v>
      </c>
      <c r="E31" s="202">
        <f t="shared" si="9"/>
        <v>21.074815595363546</v>
      </c>
      <c r="F31" s="267">
        <f>D31*'Calving input'!E40/100</f>
        <v>23780.821917808222</v>
      </c>
      <c r="G31" s="288">
        <f>C31*'Calving input'!G40*B31</f>
        <v>29822</v>
      </c>
      <c r="H31" s="267">
        <f>G31*'Calving input'!F40</f>
        <v>5964.4000000000005</v>
      </c>
      <c r="I31" s="29">
        <v>1</v>
      </c>
      <c r="J31" s="66">
        <f>'Hidden calculation alter'!S26+'Hidden calculation alter'!AJ26</f>
        <v>78</v>
      </c>
      <c r="K31" s="94">
        <f>'Hidden calculation alter'!AV26*P31*B31</f>
        <v>58624.856365618391</v>
      </c>
      <c r="L31" s="61">
        <f t="shared" si="5"/>
        <v>24.24518460116559</v>
      </c>
      <c r="M31" s="273">
        <f>K31*'Calving input'!J40/100</f>
        <v>16414.959782373149</v>
      </c>
      <c r="N31" s="292">
        <f>J31*'Calving input'!L40*B31</f>
        <v>17893.2</v>
      </c>
      <c r="O31" s="273">
        <f>N31*'Calving input'!K40</f>
        <v>3578.6400000000003</v>
      </c>
      <c r="P31" s="2">
        <v>1</v>
      </c>
      <c r="Q31" s="99">
        <f t="shared" si="6"/>
        <v>-26306.6504836967</v>
      </c>
    </row>
    <row r="32" spans="1:17" ht="14" x14ac:dyDescent="0.3">
      <c r="A32" s="203">
        <f t="shared" si="7"/>
        <v>46081</v>
      </c>
      <c r="B32" s="184">
        <f t="shared" si="8"/>
        <v>28</v>
      </c>
      <c r="C32" s="185">
        <f>'Hidden calculation original'!S27+'Hidden calculation original'!AJ27</f>
        <v>130</v>
      </c>
      <c r="D32" s="186">
        <f>'Hidden calculation original'!AV27*Output!I32*B32</f>
        <v>76712.328767123312</v>
      </c>
      <c r="E32" s="202">
        <f t="shared" si="9"/>
        <v>21.074815595363546</v>
      </c>
      <c r="F32" s="267">
        <f>D32*'Calving input'!E41/100</f>
        <v>21479.452054794529</v>
      </c>
      <c r="G32" s="288">
        <f>C32*'Calving input'!G41*B32</f>
        <v>26936</v>
      </c>
      <c r="H32" s="267">
        <f>G32*'Calving input'!F41</f>
        <v>5387.2000000000007</v>
      </c>
      <c r="I32" s="29">
        <v>1</v>
      </c>
      <c r="J32" s="66">
        <f>'Hidden calculation alter'!S27+'Hidden calculation alter'!AJ27</f>
        <v>78</v>
      </c>
      <c r="K32" s="94">
        <f>'Hidden calculation alter'!AV27*P32*B32</f>
        <v>52951.483168945648</v>
      </c>
      <c r="L32" s="61">
        <f t="shared" si="5"/>
        <v>24.24518460116559</v>
      </c>
      <c r="M32" s="273">
        <f>K32*'Calving input'!J41/100</f>
        <v>14826.415287304781</v>
      </c>
      <c r="N32" s="292">
        <f>J32*'Calving input'!L41*B32</f>
        <v>16161.600000000002</v>
      </c>
      <c r="O32" s="273">
        <f>N32*'Calving input'!K41</f>
        <v>3232.3200000000006</v>
      </c>
      <c r="P32" s="2">
        <v>1</v>
      </c>
      <c r="Q32" s="99">
        <f t="shared" si="6"/>
        <v>-23760.845598177664</v>
      </c>
    </row>
    <row r="33" spans="1:17" ht="14" x14ac:dyDescent="0.3">
      <c r="A33" s="203">
        <f t="shared" si="7"/>
        <v>46112</v>
      </c>
      <c r="B33" s="184">
        <f t="shared" si="8"/>
        <v>31</v>
      </c>
      <c r="C33" s="185">
        <f>'Hidden calculation original'!S28+'Hidden calculation original'!AJ28</f>
        <v>130</v>
      </c>
      <c r="D33" s="186">
        <f>'Hidden calculation original'!AV28*Output!I33*B33</f>
        <v>84931.50684931509</v>
      </c>
      <c r="E33" s="202">
        <f t="shared" si="9"/>
        <v>21.074815595363546</v>
      </c>
      <c r="F33" s="267">
        <f>D33*'Calving input'!E42/100</f>
        <v>23780.821917808222</v>
      </c>
      <c r="G33" s="288">
        <f>C33*'Calving input'!G42*B33</f>
        <v>29822</v>
      </c>
      <c r="H33" s="267">
        <f>G33*'Calving input'!F42</f>
        <v>5964.4000000000005</v>
      </c>
      <c r="I33" s="29">
        <v>1</v>
      </c>
      <c r="J33" s="66">
        <f>'Hidden calculation alter'!S28+'Hidden calculation alter'!AJ28</f>
        <v>78</v>
      </c>
      <c r="K33" s="94">
        <f>'Hidden calculation alter'!AV28*P33*B33</f>
        <v>58624.856365618391</v>
      </c>
      <c r="L33" s="61">
        <f t="shared" si="5"/>
        <v>24.24518460116559</v>
      </c>
      <c r="M33" s="273">
        <f>K33*'Calving input'!J42/100</f>
        <v>16414.959782373149</v>
      </c>
      <c r="N33" s="292">
        <f>J33*'Calving input'!L42*B33</f>
        <v>17893.2</v>
      </c>
      <c r="O33" s="273">
        <f>N33*'Calving input'!K42</f>
        <v>3578.6400000000003</v>
      </c>
      <c r="P33" s="2">
        <v>1</v>
      </c>
      <c r="Q33" s="99">
        <f t="shared" si="6"/>
        <v>-26306.6504836967</v>
      </c>
    </row>
    <row r="34" spans="1:17" ht="14" x14ac:dyDescent="0.3">
      <c r="A34" s="204" t="s">
        <v>72</v>
      </c>
      <c r="B34" s="187">
        <f>SUM(B22:B33)</f>
        <v>365</v>
      </c>
      <c r="C34" s="188">
        <f>AVERAGE(C22:C33)</f>
        <v>130</v>
      </c>
      <c r="D34" s="186">
        <f>SUM(D22:D33)</f>
        <v>1000000.0000000003</v>
      </c>
      <c r="E34" s="195">
        <f t="shared" si="9"/>
        <v>21.074815595363546</v>
      </c>
      <c r="F34" s="268">
        <f>SUM(F22:F33)</f>
        <v>280000</v>
      </c>
      <c r="G34" s="286">
        <f>SUM(G22:G33)</f>
        <v>351130</v>
      </c>
      <c r="H34" s="268">
        <f>SUM(H22:H33)</f>
        <v>70226</v>
      </c>
      <c r="I34" s="196">
        <f>AVERAGE(I22:I33)</f>
        <v>1</v>
      </c>
      <c r="J34" s="62">
        <f>AVERAGE(J22:J33)</f>
        <v>78</v>
      </c>
      <c r="K34" s="94">
        <f>SUM(K22:K33)</f>
        <v>690260.4055951843</v>
      </c>
      <c r="L34" s="63">
        <f t="shared" si="5"/>
        <v>24.24518460116559</v>
      </c>
      <c r="M34" s="274">
        <f>SUM(M22:M33)</f>
        <v>193272.91356665164</v>
      </c>
      <c r="N34" s="290">
        <f>SUM(N22:N33)</f>
        <v>210678.00000000003</v>
      </c>
      <c r="O34" s="274">
        <f>SUM(O22:O33)</f>
        <v>42135.6</v>
      </c>
      <c r="P34" s="64">
        <f>AVERAGE(P22:P33)</f>
        <v>1</v>
      </c>
      <c r="Q34" s="99">
        <f t="shared" si="6"/>
        <v>-309739.59440481605</v>
      </c>
    </row>
    <row r="35" spans="1:17" ht="15.5" x14ac:dyDescent="0.35">
      <c r="A35" s="205"/>
      <c r="B35" s="192"/>
      <c r="D35" s="190"/>
      <c r="E35" s="197">
        <f>E34*B34</f>
        <v>7692.3076923076942</v>
      </c>
      <c r="F35" s="269" t="s">
        <v>80</v>
      </c>
      <c r="G35" s="287"/>
      <c r="H35" s="271"/>
      <c r="I35" s="176"/>
      <c r="J35" s="57"/>
      <c r="K35" s="95"/>
      <c r="L35" s="65">
        <f>L34*B34</f>
        <v>8849.492379425441</v>
      </c>
      <c r="M35" s="275" t="s">
        <v>80</v>
      </c>
      <c r="N35" s="291"/>
      <c r="O35" s="277"/>
      <c r="P35" s="57"/>
      <c r="Q35" s="100"/>
    </row>
    <row r="36" spans="1:17" x14ac:dyDescent="0.25">
      <c r="A36" s="178"/>
      <c r="B36" s="191"/>
      <c r="D36" s="129"/>
      <c r="E36" s="129"/>
      <c r="F36" s="270"/>
      <c r="G36" s="287"/>
      <c r="H36" s="271"/>
      <c r="I36" s="176"/>
      <c r="J36" s="57"/>
      <c r="K36" s="57"/>
      <c r="L36" s="57"/>
      <c r="M36" s="276"/>
      <c r="N36" s="291"/>
      <c r="O36" s="277"/>
      <c r="P36" s="57"/>
      <c r="Q36" s="100"/>
    </row>
    <row r="37" spans="1:17" ht="14" x14ac:dyDescent="0.3">
      <c r="A37" s="203">
        <f>EOMONTH(A33,1)</f>
        <v>46142</v>
      </c>
      <c r="B37" s="184">
        <f>DAY(A37)</f>
        <v>30</v>
      </c>
      <c r="C37" s="185">
        <f>'Hidden calculation original'!S29+'Hidden calculation original'!AJ29</f>
        <v>130</v>
      </c>
      <c r="D37" s="186">
        <f>'Hidden calculation original'!AV29*Output!I37*B37</f>
        <v>82191.780821917826</v>
      </c>
      <c r="E37" s="201">
        <f>IF(C37=0,0,D37/$B37/C37)</f>
        <v>21.074815595363546</v>
      </c>
      <c r="F37" s="267">
        <f>D37*'Calving input'!E44/100</f>
        <v>23013.698630136991</v>
      </c>
      <c r="G37" s="288">
        <f>C37*'Calving input'!G44*B37</f>
        <v>28860</v>
      </c>
      <c r="H37" s="267">
        <f>G37*'Calving input'!F44</f>
        <v>5772</v>
      </c>
      <c r="I37" s="29">
        <v>1</v>
      </c>
      <c r="J37" s="66">
        <f>'Hidden calculation alter'!S29+'Hidden calculation alter'!AJ29</f>
        <v>78</v>
      </c>
      <c r="K37" s="94">
        <f>'Hidden calculation alter'!AV29*P37*B37</f>
        <v>56733.731966727479</v>
      </c>
      <c r="L37" s="67">
        <f t="shared" ref="L37:L49" si="10">IF(J37=0,0,K37/B37/J37)</f>
        <v>24.24518460116559</v>
      </c>
      <c r="M37" s="273">
        <f>K37*'Calving input'!J44/100</f>
        <v>15885.444950683694</v>
      </c>
      <c r="N37" s="292">
        <f>J37*'Calving input'!L44*B37</f>
        <v>17316</v>
      </c>
      <c r="O37" s="273">
        <f>N37*'Calving input'!K44</f>
        <v>3463.2000000000003</v>
      </c>
      <c r="P37" s="2">
        <v>1</v>
      </c>
      <c r="Q37" s="99">
        <f t="shared" ref="Q37:Q49" si="11">K37-D37</f>
        <v>-25458.048855190347</v>
      </c>
    </row>
    <row r="38" spans="1:17" ht="14" x14ac:dyDescent="0.3">
      <c r="A38" s="203">
        <f t="shared" ref="A38:A48" si="12">EOMONTH(A37,1)</f>
        <v>46173</v>
      </c>
      <c r="B38" s="184">
        <f t="shared" ref="B38:B48" si="13">DAY(A38)</f>
        <v>31</v>
      </c>
      <c r="C38" s="185">
        <f>'Hidden calculation original'!S30+'Hidden calculation original'!AJ30</f>
        <v>130</v>
      </c>
      <c r="D38" s="186">
        <f>'Hidden calculation original'!AV30*Output!I38*B38</f>
        <v>84931.50684931509</v>
      </c>
      <c r="E38" s="202">
        <f t="shared" ref="E38:E49" si="14">IF(C38=0,0,D38/$B38/C38)</f>
        <v>21.074815595363546</v>
      </c>
      <c r="F38" s="267">
        <f>D38*'Calving input'!E45/100</f>
        <v>23780.821917808222</v>
      </c>
      <c r="G38" s="288">
        <f>C38*'Calving input'!G45*B38</f>
        <v>29822</v>
      </c>
      <c r="H38" s="267">
        <f>G38*'Calving input'!F45</f>
        <v>5964.4000000000005</v>
      </c>
      <c r="I38" s="29">
        <v>1</v>
      </c>
      <c r="J38" s="66">
        <f>'Hidden calculation alter'!S30+'Hidden calculation alter'!AJ30</f>
        <v>78</v>
      </c>
      <c r="K38" s="94">
        <f>'Hidden calculation alter'!AV30*P38*B38</f>
        <v>58624.856365618391</v>
      </c>
      <c r="L38" s="61">
        <f t="shared" si="10"/>
        <v>24.24518460116559</v>
      </c>
      <c r="M38" s="273">
        <f>K38*'Calving input'!J45/100</f>
        <v>16414.959782373149</v>
      </c>
      <c r="N38" s="292">
        <f>J38*'Calving input'!L45*B38</f>
        <v>17893.2</v>
      </c>
      <c r="O38" s="273">
        <f>N38*'Calving input'!K45</f>
        <v>3578.6400000000003</v>
      </c>
      <c r="P38" s="2">
        <v>1</v>
      </c>
      <c r="Q38" s="99">
        <f t="shared" si="11"/>
        <v>-26306.6504836967</v>
      </c>
    </row>
    <row r="39" spans="1:17" ht="14" x14ac:dyDescent="0.3">
      <c r="A39" s="203">
        <f t="shared" si="12"/>
        <v>46203</v>
      </c>
      <c r="B39" s="184">
        <f t="shared" si="13"/>
        <v>30</v>
      </c>
      <c r="C39" s="185">
        <f>'Hidden calculation original'!S31+'Hidden calculation original'!AJ31</f>
        <v>130</v>
      </c>
      <c r="D39" s="186">
        <f>'Hidden calculation original'!AV31*Output!I39*B39</f>
        <v>82191.780821917826</v>
      </c>
      <c r="E39" s="202">
        <f t="shared" si="14"/>
        <v>21.074815595363546</v>
      </c>
      <c r="F39" s="267">
        <f>D39*'Calving input'!E46/100</f>
        <v>23013.698630136991</v>
      </c>
      <c r="G39" s="288">
        <f>C39*'Calving input'!G46*B39</f>
        <v>28860</v>
      </c>
      <c r="H39" s="267">
        <f>G39*'Calving input'!F46</f>
        <v>5772</v>
      </c>
      <c r="I39" s="29">
        <v>1</v>
      </c>
      <c r="J39" s="66">
        <f>'Hidden calculation alter'!S31+'Hidden calculation alter'!AJ31</f>
        <v>78</v>
      </c>
      <c r="K39" s="94">
        <f>'Hidden calculation alter'!AV31*P39*B39</f>
        <v>56733.731966727479</v>
      </c>
      <c r="L39" s="61">
        <f t="shared" si="10"/>
        <v>24.24518460116559</v>
      </c>
      <c r="M39" s="273">
        <f>K39*'Calving input'!J46/100</f>
        <v>15885.444950683694</v>
      </c>
      <c r="N39" s="292">
        <f>J39*'Calving input'!L46*B39</f>
        <v>17316</v>
      </c>
      <c r="O39" s="273">
        <f>N39*'Calving input'!K46</f>
        <v>3463.2000000000003</v>
      </c>
      <c r="P39" s="2">
        <v>1</v>
      </c>
      <c r="Q39" s="99">
        <f t="shared" si="11"/>
        <v>-25458.048855190347</v>
      </c>
    </row>
    <row r="40" spans="1:17" ht="14" x14ac:dyDescent="0.3">
      <c r="A40" s="203">
        <f t="shared" si="12"/>
        <v>46234</v>
      </c>
      <c r="B40" s="184">
        <f t="shared" si="13"/>
        <v>31</v>
      </c>
      <c r="C40" s="185">
        <f>'Hidden calculation original'!S32+'Hidden calculation original'!AJ32</f>
        <v>130</v>
      </c>
      <c r="D40" s="186">
        <f>'Hidden calculation original'!AV32*Output!I40*B40</f>
        <v>84931.50684931509</v>
      </c>
      <c r="E40" s="202">
        <f t="shared" si="14"/>
        <v>21.074815595363546</v>
      </c>
      <c r="F40" s="267">
        <f>D40*'Calving input'!E47/100</f>
        <v>23780.821917808222</v>
      </c>
      <c r="G40" s="288">
        <f>C40*'Calving input'!G47*B40</f>
        <v>29822</v>
      </c>
      <c r="H40" s="267">
        <f>G40*'Calving input'!F47</f>
        <v>5964.4000000000005</v>
      </c>
      <c r="I40" s="29">
        <v>1</v>
      </c>
      <c r="J40" s="66">
        <f>'Hidden calculation alter'!S32+'Hidden calculation alter'!AJ32</f>
        <v>78</v>
      </c>
      <c r="K40" s="94">
        <f>'Hidden calculation alter'!AV32*P40*B40</f>
        <v>58624.856365618391</v>
      </c>
      <c r="L40" s="61">
        <f t="shared" si="10"/>
        <v>24.24518460116559</v>
      </c>
      <c r="M40" s="273">
        <f>K40*'Calving input'!J47/100</f>
        <v>16414.959782373149</v>
      </c>
      <c r="N40" s="292">
        <f>J40*'Calving input'!L47*B40</f>
        <v>17893.2</v>
      </c>
      <c r="O40" s="273">
        <f>N40*'Calving input'!K47</f>
        <v>3578.6400000000003</v>
      </c>
      <c r="P40" s="2">
        <v>1</v>
      </c>
      <c r="Q40" s="99">
        <f t="shared" si="11"/>
        <v>-26306.6504836967</v>
      </c>
    </row>
    <row r="41" spans="1:17" ht="14" x14ac:dyDescent="0.3">
      <c r="A41" s="203">
        <f t="shared" si="12"/>
        <v>46265</v>
      </c>
      <c r="B41" s="184">
        <f t="shared" si="13"/>
        <v>31</v>
      </c>
      <c r="C41" s="185">
        <f>'Hidden calculation original'!S33+'Hidden calculation original'!AJ33</f>
        <v>130</v>
      </c>
      <c r="D41" s="186">
        <f>'Hidden calculation original'!AV33*Output!I41*B41</f>
        <v>84931.50684931509</v>
      </c>
      <c r="E41" s="202">
        <f t="shared" si="14"/>
        <v>21.074815595363546</v>
      </c>
      <c r="F41" s="267">
        <f>D41*'Calving input'!E48/100</f>
        <v>23780.821917808222</v>
      </c>
      <c r="G41" s="288">
        <f>C41*'Calving input'!G48*B41</f>
        <v>29822</v>
      </c>
      <c r="H41" s="267">
        <f>G41*'Calving input'!F48</f>
        <v>5964.4000000000005</v>
      </c>
      <c r="I41" s="29">
        <v>1</v>
      </c>
      <c r="J41" s="66">
        <f>'Hidden calculation alter'!S33+'Hidden calculation alter'!AJ33</f>
        <v>78</v>
      </c>
      <c r="K41" s="94">
        <f>'Hidden calculation alter'!AV33*P41*B41</f>
        <v>58624.856365618391</v>
      </c>
      <c r="L41" s="61">
        <f t="shared" si="10"/>
        <v>24.24518460116559</v>
      </c>
      <c r="M41" s="273">
        <f>K41*'Calving input'!J48/100</f>
        <v>16414.959782373149</v>
      </c>
      <c r="N41" s="292">
        <f>J41*'Calving input'!L48*B41</f>
        <v>17893.2</v>
      </c>
      <c r="O41" s="273">
        <f>N41*'Calving input'!K48</f>
        <v>3578.6400000000003</v>
      </c>
      <c r="P41" s="2">
        <v>1</v>
      </c>
      <c r="Q41" s="99">
        <f t="shared" si="11"/>
        <v>-26306.6504836967</v>
      </c>
    </row>
    <row r="42" spans="1:17" ht="14" x14ac:dyDescent="0.3">
      <c r="A42" s="203">
        <f t="shared" si="12"/>
        <v>46295</v>
      </c>
      <c r="B42" s="184">
        <f t="shared" si="13"/>
        <v>30</v>
      </c>
      <c r="C42" s="185">
        <f>'Hidden calculation original'!S34+'Hidden calculation original'!AJ34</f>
        <v>130</v>
      </c>
      <c r="D42" s="186">
        <f>'Hidden calculation original'!AV34*Output!I42*B42</f>
        <v>82191.780821917826</v>
      </c>
      <c r="E42" s="202">
        <f t="shared" si="14"/>
        <v>21.074815595363546</v>
      </c>
      <c r="F42" s="267">
        <f>D42*'Calving input'!E49/100</f>
        <v>23013.698630136991</v>
      </c>
      <c r="G42" s="288">
        <f>C42*'Calving input'!G49*B42</f>
        <v>28860</v>
      </c>
      <c r="H42" s="267">
        <f>G42*'Calving input'!F49</f>
        <v>5772</v>
      </c>
      <c r="I42" s="29">
        <v>1</v>
      </c>
      <c r="J42" s="66">
        <f>'Hidden calculation alter'!S34+'Hidden calculation alter'!AJ34</f>
        <v>78</v>
      </c>
      <c r="K42" s="94">
        <f>'Hidden calculation alter'!AV34*P42*B42</f>
        <v>56733.731966727479</v>
      </c>
      <c r="L42" s="61">
        <f t="shared" si="10"/>
        <v>24.24518460116559</v>
      </c>
      <c r="M42" s="273">
        <f>K42*'Calving input'!J49/100</f>
        <v>15885.444950683694</v>
      </c>
      <c r="N42" s="292">
        <f>J42*'Calving input'!L49*B42</f>
        <v>17316</v>
      </c>
      <c r="O42" s="273">
        <f>N42*'Calving input'!K49</f>
        <v>3463.2000000000003</v>
      </c>
      <c r="P42" s="2">
        <v>1</v>
      </c>
      <c r="Q42" s="99">
        <f t="shared" si="11"/>
        <v>-25458.048855190347</v>
      </c>
    </row>
    <row r="43" spans="1:17" ht="14" x14ac:dyDescent="0.3">
      <c r="A43" s="203">
        <f t="shared" si="12"/>
        <v>46326</v>
      </c>
      <c r="B43" s="184">
        <f t="shared" si="13"/>
        <v>31</v>
      </c>
      <c r="C43" s="185">
        <f>'Hidden calculation original'!S35+'Hidden calculation original'!AJ35</f>
        <v>130</v>
      </c>
      <c r="D43" s="186">
        <f>'Hidden calculation original'!AV35*Output!I43*B43</f>
        <v>84931.50684931509</v>
      </c>
      <c r="E43" s="202">
        <f t="shared" si="14"/>
        <v>21.074815595363546</v>
      </c>
      <c r="F43" s="267">
        <f>D43*'Calving input'!E50/100</f>
        <v>23780.821917808222</v>
      </c>
      <c r="G43" s="288">
        <f>C43*'Calving input'!G50*B43</f>
        <v>29822</v>
      </c>
      <c r="H43" s="267">
        <f>G43*'Calving input'!F50</f>
        <v>5964.4000000000005</v>
      </c>
      <c r="I43" s="29">
        <v>1</v>
      </c>
      <c r="J43" s="66">
        <f>'Hidden calculation alter'!S35+'Hidden calculation alter'!AJ35</f>
        <v>78</v>
      </c>
      <c r="K43" s="94">
        <f>'Hidden calculation alter'!AV35*P43*B43</f>
        <v>58624.856365618391</v>
      </c>
      <c r="L43" s="61">
        <f t="shared" si="10"/>
        <v>24.24518460116559</v>
      </c>
      <c r="M43" s="273">
        <f>K43*'Calving input'!J50/100</f>
        <v>16414.959782373149</v>
      </c>
      <c r="N43" s="292">
        <f>J43*'Calving input'!L50*B43</f>
        <v>17893.2</v>
      </c>
      <c r="O43" s="273">
        <f>N43*'Calving input'!K50</f>
        <v>3578.6400000000003</v>
      </c>
      <c r="P43" s="2">
        <v>1</v>
      </c>
      <c r="Q43" s="99">
        <f t="shared" si="11"/>
        <v>-26306.6504836967</v>
      </c>
    </row>
    <row r="44" spans="1:17" ht="14" x14ac:dyDescent="0.3">
      <c r="A44" s="203">
        <f t="shared" si="12"/>
        <v>46356</v>
      </c>
      <c r="B44" s="184">
        <f t="shared" si="13"/>
        <v>30</v>
      </c>
      <c r="C44" s="185">
        <f>'Hidden calculation original'!S36+'Hidden calculation original'!AJ36</f>
        <v>130</v>
      </c>
      <c r="D44" s="186">
        <f>'Hidden calculation original'!AV36*Output!I44*B44</f>
        <v>82191.780821917826</v>
      </c>
      <c r="E44" s="202">
        <f t="shared" si="14"/>
        <v>21.074815595363546</v>
      </c>
      <c r="F44" s="267">
        <f>D44*'Calving input'!E51/100</f>
        <v>23013.698630136991</v>
      </c>
      <c r="G44" s="288">
        <f>C44*'Calving input'!G51*B44</f>
        <v>28860</v>
      </c>
      <c r="H44" s="267">
        <f>G44*'Calving input'!F51</f>
        <v>5772</v>
      </c>
      <c r="I44" s="29">
        <v>1</v>
      </c>
      <c r="J44" s="66">
        <f>'Hidden calculation alter'!S36+'Hidden calculation alter'!AJ36</f>
        <v>78</v>
      </c>
      <c r="K44" s="94">
        <f>'Hidden calculation alter'!AV36*P44*B44</f>
        <v>56733.731966727479</v>
      </c>
      <c r="L44" s="61">
        <f t="shared" si="10"/>
        <v>24.24518460116559</v>
      </c>
      <c r="M44" s="273">
        <f>K44*'Calving input'!J51/100</f>
        <v>15885.444950683694</v>
      </c>
      <c r="N44" s="292">
        <f>J44*'Calving input'!L51*B44</f>
        <v>17316</v>
      </c>
      <c r="O44" s="273">
        <f>N44*'Calving input'!K51</f>
        <v>3463.2000000000003</v>
      </c>
      <c r="P44" s="2">
        <v>1</v>
      </c>
      <c r="Q44" s="99">
        <f t="shared" si="11"/>
        <v>-25458.048855190347</v>
      </c>
    </row>
    <row r="45" spans="1:17" ht="14" x14ac:dyDescent="0.3">
      <c r="A45" s="203">
        <f t="shared" si="12"/>
        <v>46387</v>
      </c>
      <c r="B45" s="184">
        <f t="shared" si="13"/>
        <v>31</v>
      </c>
      <c r="C45" s="185">
        <f>'Hidden calculation original'!S37+'Hidden calculation original'!AJ37</f>
        <v>130</v>
      </c>
      <c r="D45" s="186">
        <f>'Hidden calculation original'!AV37*Output!I45*B45</f>
        <v>84931.50684931509</v>
      </c>
      <c r="E45" s="202">
        <f t="shared" si="14"/>
        <v>21.074815595363546</v>
      </c>
      <c r="F45" s="267">
        <f>D45*'Calving input'!E52/100</f>
        <v>23780.821917808222</v>
      </c>
      <c r="G45" s="288">
        <f>C45*'Calving input'!G52*B45</f>
        <v>29822</v>
      </c>
      <c r="H45" s="267">
        <f>G45*'Calving input'!F52</f>
        <v>5964.4000000000005</v>
      </c>
      <c r="I45" s="29">
        <v>1</v>
      </c>
      <c r="J45" s="66">
        <f>'Hidden calculation alter'!S37+'Hidden calculation alter'!AJ37</f>
        <v>78</v>
      </c>
      <c r="K45" s="94">
        <f>'Hidden calculation alter'!AV37*P45*B45</f>
        <v>58624.856365618391</v>
      </c>
      <c r="L45" s="61">
        <f t="shared" si="10"/>
        <v>24.24518460116559</v>
      </c>
      <c r="M45" s="273">
        <f>K45*'Calving input'!J52/100</f>
        <v>16414.959782373149</v>
      </c>
      <c r="N45" s="292">
        <f>J45*'Calving input'!L52*B45</f>
        <v>17893.2</v>
      </c>
      <c r="O45" s="273">
        <f>N45*'Calving input'!K52</f>
        <v>3578.6400000000003</v>
      </c>
      <c r="P45" s="2">
        <v>1</v>
      </c>
      <c r="Q45" s="99">
        <f t="shared" si="11"/>
        <v>-26306.6504836967</v>
      </c>
    </row>
    <row r="46" spans="1:17" ht="14" x14ac:dyDescent="0.3">
      <c r="A46" s="203">
        <f t="shared" si="12"/>
        <v>46418</v>
      </c>
      <c r="B46" s="184">
        <f t="shared" si="13"/>
        <v>31</v>
      </c>
      <c r="C46" s="185">
        <f>'Hidden calculation original'!S38+'Hidden calculation original'!AJ38</f>
        <v>130</v>
      </c>
      <c r="D46" s="186">
        <f>'Hidden calculation original'!AV38*Output!I46*B46</f>
        <v>84931.50684931509</v>
      </c>
      <c r="E46" s="202">
        <f t="shared" si="14"/>
        <v>21.074815595363546</v>
      </c>
      <c r="F46" s="267">
        <f>D46*'Calving input'!E53/100</f>
        <v>23780.821917808222</v>
      </c>
      <c r="G46" s="288">
        <f>C46*'Calving input'!G53*B46</f>
        <v>29822</v>
      </c>
      <c r="H46" s="267">
        <f>G46*'Calving input'!F53</f>
        <v>5964.4000000000005</v>
      </c>
      <c r="I46" s="29">
        <v>1</v>
      </c>
      <c r="J46" s="66">
        <f>'Hidden calculation alter'!S38+'Hidden calculation alter'!AJ38</f>
        <v>78</v>
      </c>
      <c r="K46" s="94">
        <f>'Hidden calculation alter'!AV38*P46*B46</f>
        <v>58624.856365618391</v>
      </c>
      <c r="L46" s="61">
        <f t="shared" si="10"/>
        <v>24.24518460116559</v>
      </c>
      <c r="M46" s="273">
        <f>K46*'Calving input'!J53/100</f>
        <v>16414.959782373149</v>
      </c>
      <c r="N46" s="292">
        <f>J46*'Calving input'!L53*B46</f>
        <v>17893.2</v>
      </c>
      <c r="O46" s="273">
        <f>N46*'Calving input'!K53</f>
        <v>3578.6400000000003</v>
      </c>
      <c r="P46" s="2">
        <v>1</v>
      </c>
      <c r="Q46" s="99">
        <f t="shared" si="11"/>
        <v>-26306.6504836967</v>
      </c>
    </row>
    <row r="47" spans="1:17" ht="14" x14ac:dyDescent="0.3">
      <c r="A47" s="203">
        <f t="shared" si="12"/>
        <v>46446</v>
      </c>
      <c r="B47" s="184">
        <f t="shared" si="13"/>
        <v>28</v>
      </c>
      <c r="C47" s="185">
        <f>'Hidden calculation original'!S39+'Hidden calculation original'!AJ39</f>
        <v>130</v>
      </c>
      <c r="D47" s="186">
        <f>'Hidden calculation original'!AV39*Output!I47*B47</f>
        <v>76712.328767123312</v>
      </c>
      <c r="E47" s="202">
        <f t="shared" si="14"/>
        <v>21.074815595363546</v>
      </c>
      <c r="F47" s="267">
        <f>D47*'Calving input'!E54/100</f>
        <v>21479.452054794529</v>
      </c>
      <c r="G47" s="288">
        <f>C47*'Calving input'!G54*B47</f>
        <v>26936</v>
      </c>
      <c r="H47" s="267">
        <f>G47*'Calving input'!F54</f>
        <v>5387.2000000000007</v>
      </c>
      <c r="I47" s="29">
        <v>1</v>
      </c>
      <c r="J47" s="66">
        <f>'Hidden calculation alter'!S39+'Hidden calculation alter'!AJ39</f>
        <v>78</v>
      </c>
      <c r="K47" s="94">
        <f>'Hidden calculation alter'!AV39*P47*B47</f>
        <v>52951.483168945648</v>
      </c>
      <c r="L47" s="61">
        <f t="shared" si="10"/>
        <v>24.24518460116559</v>
      </c>
      <c r="M47" s="273">
        <f>K47*'Calving input'!J54/100</f>
        <v>14826.415287304781</v>
      </c>
      <c r="N47" s="292">
        <f>J47*'Calving input'!L54*B47</f>
        <v>16161.600000000002</v>
      </c>
      <c r="O47" s="273">
        <f>N47*'Calving input'!K54</f>
        <v>3232.3200000000006</v>
      </c>
      <c r="P47" s="2">
        <v>1</v>
      </c>
      <c r="Q47" s="99">
        <f t="shared" si="11"/>
        <v>-23760.845598177664</v>
      </c>
    </row>
    <row r="48" spans="1:17" ht="14" x14ac:dyDescent="0.3">
      <c r="A48" s="203">
        <f t="shared" si="12"/>
        <v>46477</v>
      </c>
      <c r="B48" s="184">
        <f t="shared" si="13"/>
        <v>31</v>
      </c>
      <c r="C48" s="185">
        <f>'Hidden calculation original'!S40+'Hidden calculation original'!AJ40</f>
        <v>130</v>
      </c>
      <c r="D48" s="186">
        <f>'Hidden calculation original'!AV40*Output!I48*B48</f>
        <v>84931.50684931509</v>
      </c>
      <c r="E48" s="202">
        <f t="shared" si="14"/>
        <v>21.074815595363546</v>
      </c>
      <c r="F48" s="267">
        <f>D48*'Calving input'!E55/100</f>
        <v>23780.821917808222</v>
      </c>
      <c r="G48" s="288">
        <f>C48*'Calving input'!G55*B48</f>
        <v>29822</v>
      </c>
      <c r="H48" s="267">
        <f>G48*'Calving input'!F55</f>
        <v>5964.4000000000005</v>
      </c>
      <c r="I48" s="29">
        <v>1</v>
      </c>
      <c r="J48" s="66">
        <f>'Hidden calculation alter'!S40+'Hidden calculation alter'!AJ40</f>
        <v>78</v>
      </c>
      <c r="K48" s="94">
        <f>'Hidden calculation alter'!AV40*P48*B48</f>
        <v>58624.856365618391</v>
      </c>
      <c r="L48" s="61">
        <f t="shared" si="10"/>
        <v>24.24518460116559</v>
      </c>
      <c r="M48" s="273">
        <f>K48*'Calving input'!J55/100</f>
        <v>16414.959782373149</v>
      </c>
      <c r="N48" s="292">
        <f>J48*'Calving input'!L55*B48</f>
        <v>17893.2</v>
      </c>
      <c r="O48" s="273">
        <f>N48*'Calving input'!K55</f>
        <v>3578.6400000000003</v>
      </c>
      <c r="P48" s="2">
        <v>1</v>
      </c>
      <c r="Q48" s="99">
        <f t="shared" si="11"/>
        <v>-26306.6504836967</v>
      </c>
    </row>
    <row r="49" spans="1:17" ht="14" x14ac:dyDescent="0.3">
      <c r="A49" s="204" t="s">
        <v>79</v>
      </c>
      <c r="B49" s="187">
        <f>SUM(B37:B48)</f>
        <v>365</v>
      </c>
      <c r="C49" s="188">
        <f>AVERAGE(C37:C48)</f>
        <v>130</v>
      </c>
      <c r="D49" s="186">
        <f>SUM(D37:D48)</f>
        <v>1000000.0000000003</v>
      </c>
      <c r="E49" s="195">
        <f t="shared" si="14"/>
        <v>21.074815595363546</v>
      </c>
      <c r="F49" s="268">
        <f>SUM(F37:F48)</f>
        <v>280000</v>
      </c>
      <c r="G49" s="286">
        <f>SUM(G37:G48)</f>
        <v>351130</v>
      </c>
      <c r="H49" s="268">
        <f>SUM(H37:H48)</f>
        <v>70226</v>
      </c>
      <c r="I49" s="196">
        <f>AVERAGE(I37:I48)</f>
        <v>1</v>
      </c>
      <c r="J49" s="62">
        <f>AVERAGE(J37:J48)</f>
        <v>78</v>
      </c>
      <c r="K49" s="94">
        <f>SUM(K37:K48)</f>
        <v>690260.4055951843</v>
      </c>
      <c r="L49" s="63">
        <f t="shared" si="10"/>
        <v>24.24518460116559</v>
      </c>
      <c r="M49" s="274">
        <f>SUM(M37:M48)</f>
        <v>193272.91356665164</v>
      </c>
      <c r="N49" s="290">
        <f>SUM(N37:N48)</f>
        <v>210678.00000000003</v>
      </c>
      <c r="O49" s="274">
        <f>SUM(O37:O48)</f>
        <v>42135.6</v>
      </c>
      <c r="P49" s="64">
        <f>AVERAGE(P37:P48)</f>
        <v>1</v>
      </c>
      <c r="Q49" s="99">
        <f t="shared" si="11"/>
        <v>-309739.59440481605</v>
      </c>
    </row>
    <row r="50" spans="1:17" ht="16" thickBot="1" x14ac:dyDescent="0.4">
      <c r="A50" s="251"/>
      <c r="B50" s="193"/>
      <c r="C50" s="194"/>
      <c r="D50" s="194"/>
      <c r="E50" s="198">
        <f>E49*B49</f>
        <v>7692.3076923076942</v>
      </c>
      <c r="F50" s="199" t="s">
        <v>80</v>
      </c>
      <c r="G50" s="194"/>
      <c r="H50" s="194"/>
      <c r="I50" s="200"/>
      <c r="J50" s="68"/>
      <c r="K50" s="68"/>
      <c r="L50" s="69">
        <f>L49*B49</f>
        <v>8849.492379425441</v>
      </c>
      <c r="M50" s="70" t="s">
        <v>80</v>
      </c>
      <c r="N50" s="68"/>
      <c r="O50" s="68"/>
      <c r="P50" s="68"/>
      <c r="Q50" s="101"/>
    </row>
  </sheetData>
  <printOptions horizontalCentered="1"/>
  <pageMargins left="0.23622047244094491" right="0.23622047244094491" top="0.74803149606299213" bottom="0.74803149606299213" header="0.31496062992125984" footer="0.31496062992125984"/>
  <pageSetup paperSize="9" scale="79" fitToWidth="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Q64"/>
  <sheetViews>
    <sheetView showGridLines="0" zoomScale="90" zoomScaleNormal="90" workbookViewId="0">
      <pane ySplit="1" topLeftCell="A2" activePane="bottomLeft" state="frozen"/>
      <selection pane="bottomLeft"/>
    </sheetView>
  </sheetViews>
  <sheetFormatPr defaultColWidth="0" defaultRowHeight="0" customHeight="1" zeroHeight="1" x14ac:dyDescent="0.25"/>
  <cols>
    <col min="1" max="1" width="9.1796875" style="249" customWidth="1"/>
    <col min="2" max="15" width="9.1796875" style="129" customWidth="1"/>
    <col min="16" max="16" width="9.1796875" style="281" customWidth="1"/>
    <col min="17" max="17" width="0" hidden="1" customWidth="1"/>
    <col min="18" max="16384" width="9.1796875" hidden="1"/>
  </cols>
  <sheetData>
    <row r="1" spans="1:16" ht="50.25" customHeight="1" x14ac:dyDescent="0.25">
      <c r="A1" s="279" t="s">
        <v>78</v>
      </c>
      <c r="B1" s="248"/>
      <c r="C1" s="248"/>
      <c r="D1" s="248"/>
      <c r="E1" s="248"/>
      <c r="F1" s="248"/>
      <c r="G1" s="248"/>
      <c r="H1" s="248"/>
      <c r="I1" s="248"/>
      <c r="J1" s="248"/>
      <c r="K1" s="248"/>
      <c r="L1" s="248"/>
      <c r="M1" s="248"/>
      <c r="N1" s="248"/>
      <c r="O1" s="248"/>
      <c r="P1" s="280"/>
    </row>
    <row r="2" spans="1:16" ht="18" customHeight="1" x14ac:dyDescent="0.25"/>
    <row r="3" spans="1:16" ht="12.5" x14ac:dyDescent="0.25"/>
    <row r="4" spans="1:16" ht="12.5" x14ac:dyDescent="0.25"/>
    <row r="5" spans="1:16" ht="12.5" x14ac:dyDescent="0.25"/>
    <row r="6" spans="1:16" ht="12.5" x14ac:dyDescent="0.25"/>
    <row r="7" spans="1:16" ht="12.5" x14ac:dyDescent="0.25"/>
    <row r="8" spans="1:16" ht="12.5" x14ac:dyDescent="0.25"/>
    <row r="9" spans="1:16" ht="12.5" x14ac:dyDescent="0.25"/>
    <row r="10" spans="1:16" ht="12.5" x14ac:dyDescent="0.25"/>
    <row r="11" spans="1:16" ht="12.5" x14ac:dyDescent="0.25"/>
    <row r="12" spans="1:16" ht="12.5" x14ac:dyDescent="0.25"/>
    <row r="13" spans="1:16" ht="12.5" x14ac:dyDescent="0.25"/>
    <row r="14" spans="1:16" ht="12.5" x14ac:dyDescent="0.25"/>
    <row r="15" spans="1:16" ht="12.5" x14ac:dyDescent="0.25"/>
    <row r="16" spans="1:16" ht="12.5" x14ac:dyDescent="0.25"/>
    <row r="17" ht="12.5" x14ac:dyDescent="0.25"/>
    <row r="18" ht="12.5" x14ac:dyDescent="0.25"/>
    <row r="19" ht="12.5" x14ac:dyDescent="0.25"/>
    <row r="20" ht="12.5" x14ac:dyDescent="0.25"/>
    <row r="21" ht="12.5" x14ac:dyDescent="0.25"/>
    <row r="22" ht="12.5" x14ac:dyDescent="0.25"/>
    <row r="23" ht="12.5" x14ac:dyDescent="0.25"/>
    <row r="24" ht="12.5" x14ac:dyDescent="0.25"/>
    <row r="25" ht="12.5" x14ac:dyDescent="0.25"/>
    <row r="26" ht="12.5" x14ac:dyDescent="0.25"/>
    <row r="27" ht="12.5" x14ac:dyDescent="0.25"/>
    <row r="28" ht="12.5" x14ac:dyDescent="0.25"/>
    <row r="29" ht="12.5" x14ac:dyDescent="0.25"/>
    <row r="30" ht="12.5" x14ac:dyDescent="0.25"/>
    <row r="31" ht="12.5" x14ac:dyDescent="0.25"/>
    <row r="32" ht="12.5" x14ac:dyDescent="0.25"/>
    <row r="33" ht="12.5" x14ac:dyDescent="0.25"/>
    <row r="34" ht="12.5" x14ac:dyDescent="0.25"/>
    <row r="35" ht="12.5" x14ac:dyDescent="0.25"/>
    <row r="36" ht="12.5" x14ac:dyDescent="0.25"/>
    <row r="37" ht="12.5" x14ac:dyDescent="0.25"/>
    <row r="38" ht="12.5" x14ac:dyDescent="0.25"/>
    <row r="39" ht="12.5" x14ac:dyDescent="0.25"/>
    <row r="40" ht="12.5" x14ac:dyDescent="0.25"/>
    <row r="41" ht="12.5" x14ac:dyDescent="0.25"/>
    <row r="42" ht="12.5" x14ac:dyDescent="0.25"/>
    <row r="43" ht="12.5"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sheetData>
  <printOptions horizontalCentered="1"/>
  <pageMargins left="0.31496062992125984" right="0.31496062992125984" top="0.94488188976377963" bottom="0.55118110236220474" header="0.31496062992125984" footer="0.31496062992125984"/>
  <pageSetup paperSize="9" scale="6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N40"/>
  <sheetViews>
    <sheetView workbookViewId="0">
      <selection activeCell="C3" sqref="C3"/>
    </sheetView>
  </sheetViews>
  <sheetFormatPr defaultRowHeight="12.5" x14ac:dyDescent="0.25"/>
  <sheetData>
    <row r="1" spans="1:14" x14ac:dyDescent="0.25">
      <c r="C1" t="s">
        <v>59</v>
      </c>
      <c r="D1" t="s">
        <v>60</v>
      </c>
      <c r="E1" t="s">
        <v>59</v>
      </c>
      <c r="F1" t="s">
        <v>60</v>
      </c>
      <c r="G1" t="s">
        <v>59</v>
      </c>
      <c r="H1" t="s">
        <v>60</v>
      </c>
      <c r="I1" t="s">
        <v>59</v>
      </c>
      <c r="J1" t="s">
        <v>60</v>
      </c>
      <c r="K1" t="s">
        <v>59</v>
      </c>
      <c r="L1" t="s">
        <v>60</v>
      </c>
      <c r="M1" t="s">
        <v>59</v>
      </c>
      <c r="N1" t="s">
        <v>60</v>
      </c>
    </row>
    <row r="2" spans="1:14" x14ac:dyDescent="0.25">
      <c r="C2" t="s">
        <v>66</v>
      </c>
      <c r="D2" t="s">
        <v>66</v>
      </c>
      <c r="E2" t="s">
        <v>83</v>
      </c>
      <c r="F2" t="s">
        <v>83</v>
      </c>
      <c r="G2" t="s">
        <v>65</v>
      </c>
      <c r="H2" t="s">
        <v>65</v>
      </c>
      <c r="I2" t="s">
        <v>23</v>
      </c>
      <c r="J2" t="s">
        <v>23</v>
      </c>
      <c r="K2" t="s">
        <v>132</v>
      </c>
      <c r="L2" t="s">
        <v>132</v>
      </c>
      <c r="M2" t="s">
        <v>133</v>
      </c>
      <c r="N2" t="s">
        <v>133</v>
      </c>
    </row>
    <row r="3" spans="1:14" x14ac:dyDescent="0.25">
      <c r="A3" s="22">
        <f>Output!A7</f>
        <v>45412</v>
      </c>
      <c r="B3" s="32">
        <f>DAY(A3)</f>
        <v>30</v>
      </c>
      <c r="C3" s="32">
        <f>Output!D7</f>
        <v>82191.780821917826</v>
      </c>
      <c r="D3" s="32">
        <f>Output!K7</f>
        <v>56733.731966727479</v>
      </c>
      <c r="E3" s="32">
        <f>C3/$B3</f>
        <v>2739.7260273972611</v>
      </c>
      <c r="F3" s="32">
        <f t="shared" ref="F3:F38" si="0">D3/$B3</f>
        <v>1891.1243988909159</v>
      </c>
      <c r="G3">
        <f>Output!E7</f>
        <v>21.074815595363546</v>
      </c>
      <c r="H3">
        <f>Output!L7</f>
        <v>24.24518460116559</v>
      </c>
      <c r="I3" s="33">
        <f>Output!F7</f>
        <v>23013.698630136991</v>
      </c>
      <c r="J3" s="33">
        <f>Output!M7</f>
        <v>15885.444950683694</v>
      </c>
      <c r="K3" s="33">
        <f>Output!H7</f>
        <v>5772</v>
      </c>
      <c r="L3" s="33">
        <f>Output!O7</f>
        <v>3463.2000000000003</v>
      </c>
      <c r="M3" s="33">
        <f>I3-K3</f>
        <v>17241.698630136991</v>
      </c>
      <c r="N3" s="33">
        <f>J3-L3</f>
        <v>12422.244950683693</v>
      </c>
    </row>
    <row r="4" spans="1:14" x14ac:dyDescent="0.25">
      <c r="A4" s="22">
        <f>Output!A8</f>
        <v>45443</v>
      </c>
      <c r="B4" s="32">
        <f t="shared" ref="B4:B38" si="1">DAY(A4)</f>
        <v>31</v>
      </c>
      <c r="C4" s="32">
        <f>Output!D8</f>
        <v>84931.50684931509</v>
      </c>
      <c r="D4" s="32">
        <f>Output!K8</f>
        <v>58624.856365618391</v>
      </c>
      <c r="E4" s="32">
        <f t="shared" ref="E4:E38" si="2">C4/$B4</f>
        <v>2739.7260273972611</v>
      </c>
      <c r="F4" s="32">
        <f t="shared" si="0"/>
        <v>1891.1243988909159</v>
      </c>
      <c r="G4">
        <f>Output!E8</f>
        <v>21.074815595363546</v>
      </c>
      <c r="H4">
        <f>Output!L8</f>
        <v>24.24518460116559</v>
      </c>
      <c r="I4" s="33">
        <f>Output!F8</f>
        <v>23780.821917808222</v>
      </c>
      <c r="J4" s="33">
        <f>Output!M8</f>
        <v>16414.959782373149</v>
      </c>
      <c r="K4" s="33">
        <f>Output!H8</f>
        <v>5964.4000000000005</v>
      </c>
      <c r="L4" s="33">
        <f>Output!O8</f>
        <v>3578.6400000000003</v>
      </c>
      <c r="M4" s="33">
        <f t="shared" ref="M4:M15" si="3">I4-K4</f>
        <v>17816.42191780822</v>
      </c>
      <c r="N4" s="33">
        <f t="shared" ref="N4:N15" si="4">J4-L4</f>
        <v>12836.31978237315</v>
      </c>
    </row>
    <row r="5" spans="1:14" x14ac:dyDescent="0.25">
      <c r="A5" s="22">
        <f>Output!A9</f>
        <v>45473</v>
      </c>
      <c r="B5" s="32">
        <f t="shared" si="1"/>
        <v>30</v>
      </c>
      <c r="C5" s="32">
        <f>Output!D9</f>
        <v>82191.780821917826</v>
      </c>
      <c r="D5" s="32">
        <f>Output!K9</f>
        <v>56733.731966727479</v>
      </c>
      <c r="E5" s="32">
        <f t="shared" si="2"/>
        <v>2739.7260273972611</v>
      </c>
      <c r="F5" s="32">
        <f t="shared" si="0"/>
        <v>1891.1243988909159</v>
      </c>
      <c r="G5">
        <f>Output!E9</f>
        <v>21.074815595363546</v>
      </c>
      <c r="H5">
        <f>Output!L9</f>
        <v>24.24518460116559</v>
      </c>
      <c r="I5" s="33">
        <f>Output!F9</f>
        <v>23013.698630136991</v>
      </c>
      <c r="J5" s="33">
        <f>Output!M9</f>
        <v>15885.444950683694</v>
      </c>
      <c r="K5" s="33">
        <f>Output!H9</f>
        <v>5772</v>
      </c>
      <c r="L5" s="33">
        <f>Output!O9</f>
        <v>3463.2000000000003</v>
      </c>
      <c r="M5" s="33">
        <f t="shared" si="3"/>
        <v>17241.698630136991</v>
      </c>
      <c r="N5" s="33">
        <f t="shared" si="4"/>
        <v>12422.244950683693</v>
      </c>
    </row>
    <row r="6" spans="1:14" x14ac:dyDescent="0.25">
      <c r="A6" s="22">
        <f>Output!A10</f>
        <v>45504</v>
      </c>
      <c r="B6" s="32">
        <f t="shared" si="1"/>
        <v>31</v>
      </c>
      <c r="C6" s="32">
        <f>Output!D10</f>
        <v>84931.50684931509</v>
      </c>
      <c r="D6" s="32">
        <f>Output!K10</f>
        <v>58624.856365618391</v>
      </c>
      <c r="E6" s="32">
        <f t="shared" si="2"/>
        <v>2739.7260273972611</v>
      </c>
      <c r="F6" s="32">
        <f t="shared" si="0"/>
        <v>1891.1243988909159</v>
      </c>
      <c r="G6">
        <f>Output!E10</f>
        <v>21.074815595363546</v>
      </c>
      <c r="H6">
        <f>Output!L10</f>
        <v>24.24518460116559</v>
      </c>
      <c r="I6" s="33">
        <f>Output!F10</f>
        <v>23780.821917808222</v>
      </c>
      <c r="J6" s="33">
        <f>Output!M10</f>
        <v>16414.959782373149</v>
      </c>
      <c r="K6" s="33">
        <f>Output!H10</f>
        <v>5964.4000000000005</v>
      </c>
      <c r="L6" s="33">
        <f>Output!O10</f>
        <v>3578.6400000000003</v>
      </c>
      <c r="M6" s="33">
        <f t="shared" si="3"/>
        <v>17816.42191780822</v>
      </c>
      <c r="N6" s="33">
        <f t="shared" si="4"/>
        <v>12836.31978237315</v>
      </c>
    </row>
    <row r="7" spans="1:14" x14ac:dyDescent="0.25">
      <c r="A7" s="22">
        <f>Output!A11</f>
        <v>45535</v>
      </c>
      <c r="B7" s="32">
        <f t="shared" si="1"/>
        <v>31</v>
      </c>
      <c r="C7" s="32">
        <f>Output!D11</f>
        <v>84931.50684931509</v>
      </c>
      <c r="D7" s="32">
        <f>Output!K11</f>
        <v>58624.856365618391</v>
      </c>
      <c r="E7" s="32">
        <f t="shared" si="2"/>
        <v>2739.7260273972611</v>
      </c>
      <c r="F7" s="32">
        <f t="shared" si="0"/>
        <v>1891.1243988909159</v>
      </c>
      <c r="G7">
        <f>Output!E11</f>
        <v>21.074815595363546</v>
      </c>
      <c r="H7">
        <f>Output!L11</f>
        <v>24.24518460116559</v>
      </c>
      <c r="I7" s="33">
        <f>Output!F11</f>
        <v>23780.821917808222</v>
      </c>
      <c r="J7" s="33">
        <f>Output!M11</f>
        <v>16414.959782373149</v>
      </c>
      <c r="K7" s="33">
        <f>Output!H11</f>
        <v>5964.4000000000005</v>
      </c>
      <c r="L7" s="33">
        <f>Output!O11</f>
        <v>3578.6400000000003</v>
      </c>
      <c r="M7" s="33">
        <f t="shared" si="3"/>
        <v>17816.42191780822</v>
      </c>
      <c r="N7" s="33">
        <f t="shared" si="4"/>
        <v>12836.31978237315</v>
      </c>
    </row>
    <row r="8" spans="1:14" x14ac:dyDescent="0.25">
      <c r="A8" s="22">
        <f>Output!A12</f>
        <v>45565</v>
      </c>
      <c r="B8" s="32">
        <f t="shared" si="1"/>
        <v>30</v>
      </c>
      <c r="C8" s="32">
        <f>Output!D12</f>
        <v>82191.780821917826</v>
      </c>
      <c r="D8" s="32">
        <f>Output!K12</f>
        <v>56733.731966727479</v>
      </c>
      <c r="E8" s="32">
        <f t="shared" si="2"/>
        <v>2739.7260273972611</v>
      </c>
      <c r="F8" s="32">
        <f t="shared" si="0"/>
        <v>1891.1243988909159</v>
      </c>
      <c r="G8">
        <f>Output!E12</f>
        <v>21.074815595363546</v>
      </c>
      <c r="H8">
        <f>Output!L12</f>
        <v>24.24518460116559</v>
      </c>
      <c r="I8" s="33">
        <f>Output!F12</f>
        <v>23013.698630136991</v>
      </c>
      <c r="J8" s="33">
        <f>Output!M12</f>
        <v>15885.444950683694</v>
      </c>
      <c r="K8" s="33">
        <f>Output!H12</f>
        <v>5772</v>
      </c>
      <c r="L8" s="33">
        <f>Output!O12</f>
        <v>3463.2000000000003</v>
      </c>
      <c r="M8" s="33">
        <f t="shared" si="3"/>
        <v>17241.698630136991</v>
      </c>
      <c r="N8" s="33">
        <f t="shared" si="4"/>
        <v>12422.244950683693</v>
      </c>
    </row>
    <row r="9" spans="1:14" x14ac:dyDescent="0.25">
      <c r="A9" s="22">
        <f>Output!A13</f>
        <v>45596</v>
      </c>
      <c r="B9" s="32">
        <f t="shared" si="1"/>
        <v>31</v>
      </c>
      <c r="C9" s="32">
        <f>Output!D13</f>
        <v>84931.50684931509</v>
      </c>
      <c r="D9" s="32">
        <f>Output!K13</f>
        <v>58624.856365618391</v>
      </c>
      <c r="E9" s="32">
        <f t="shared" si="2"/>
        <v>2739.7260273972611</v>
      </c>
      <c r="F9" s="32">
        <f t="shared" si="0"/>
        <v>1891.1243988909159</v>
      </c>
      <c r="G9">
        <f>Output!E13</f>
        <v>21.074815595363546</v>
      </c>
      <c r="H9">
        <f>Output!L13</f>
        <v>24.24518460116559</v>
      </c>
      <c r="I9" s="33">
        <f>Output!F13</f>
        <v>23780.821917808222</v>
      </c>
      <c r="J9" s="33">
        <f>Output!M13</f>
        <v>16414.959782373149</v>
      </c>
      <c r="K9" s="33">
        <f>Output!H13</f>
        <v>5964.4000000000005</v>
      </c>
      <c r="L9" s="33">
        <f>Output!O13</f>
        <v>3578.6400000000003</v>
      </c>
      <c r="M9" s="33">
        <f t="shared" si="3"/>
        <v>17816.42191780822</v>
      </c>
      <c r="N9" s="33">
        <f t="shared" si="4"/>
        <v>12836.31978237315</v>
      </c>
    </row>
    <row r="10" spans="1:14" x14ac:dyDescent="0.25">
      <c r="A10" s="22">
        <f>Output!A14</f>
        <v>45626</v>
      </c>
      <c r="B10" s="32">
        <f t="shared" si="1"/>
        <v>30</v>
      </c>
      <c r="C10" s="32">
        <f>Output!D14</f>
        <v>82191.780821917826</v>
      </c>
      <c r="D10" s="32">
        <f>Output!K14</f>
        <v>56733.731966727479</v>
      </c>
      <c r="E10" s="32">
        <f t="shared" si="2"/>
        <v>2739.7260273972611</v>
      </c>
      <c r="F10" s="32">
        <f t="shared" si="0"/>
        <v>1891.1243988909159</v>
      </c>
      <c r="G10">
        <f>Output!E14</f>
        <v>21.074815595363546</v>
      </c>
      <c r="H10">
        <f>Output!L14</f>
        <v>24.24518460116559</v>
      </c>
      <c r="I10" s="33">
        <f>Output!F14</f>
        <v>23013.698630136991</v>
      </c>
      <c r="J10" s="33">
        <f>Output!M14</f>
        <v>15885.444950683694</v>
      </c>
      <c r="K10" s="33">
        <f>Output!H14</f>
        <v>5772</v>
      </c>
      <c r="L10" s="33">
        <f>Output!O14</f>
        <v>3463.2000000000003</v>
      </c>
      <c r="M10" s="33">
        <f t="shared" si="3"/>
        <v>17241.698630136991</v>
      </c>
      <c r="N10" s="33">
        <f t="shared" si="4"/>
        <v>12422.244950683693</v>
      </c>
    </row>
    <row r="11" spans="1:14" x14ac:dyDescent="0.25">
      <c r="A11" s="22">
        <f>Output!A15</f>
        <v>45657</v>
      </c>
      <c r="B11" s="32">
        <f t="shared" si="1"/>
        <v>31</v>
      </c>
      <c r="C11" s="32">
        <f>Output!D15</f>
        <v>84931.50684931509</v>
      </c>
      <c r="D11" s="32">
        <f>Output!K15</f>
        <v>58624.856365618391</v>
      </c>
      <c r="E11" s="32">
        <f t="shared" si="2"/>
        <v>2739.7260273972611</v>
      </c>
      <c r="F11" s="32">
        <f t="shared" si="0"/>
        <v>1891.1243988909159</v>
      </c>
      <c r="G11">
        <f>Output!E15</f>
        <v>21.074815595363546</v>
      </c>
      <c r="H11">
        <f>Output!L15</f>
        <v>24.24518460116559</v>
      </c>
      <c r="I11" s="33">
        <f>Output!F15</f>
        <v>23780.821917808222</v>
      </c>
      <c r="J11" s="33">
        <f>Output!M15</f>
        <v>16414.959782373149</v>
      </c>
      <c r="K11" s="33">
        <f>Output!H15</f>
        <v>5964.4000000000005</v>
      </c>
      <c r="L11" s="33">
        <f>Output!O15</f>
        <v>3578.6400000000003</v>
      </c>
      <c r="M11" s="33">
        <f t="shared" si="3"/>
        <v>17816.42191780822</v>
      </c>
      <c r="N11" s="33">
        <f t="shared" si="4"/>
        <v>12836.31978237315</v>
      </c>
    </row>
    <row r="12" spans="1:14" x14ac:dyDescent="0.25">
      <c r="A12" s="22">
        <f>Output!A16</f>
        <v>45688</v>
      </c>
      <c r="B12" s="32">
        <f t="shared" si="1"/>
        <v>31</v>
      </c>
      <c r="C12" s="32">
        <f>Output!D16</f>
        <v>84931.50684931509</v>
      </c>
      <c r="D12" s="32">
        <f>Output!K16</f>
        <v>58624.856365618391</v>
      </c>
      <c r="E12" s="32">
        <f t="shared" si="2"/>
        <v>2739.7260273972611</v>
      </c>
      <c r="F12" s="32">
        <f t="shared" si="0"/>
        <v>1891.1243988909159</v>
      </c>
      <c r="G12">
        <f>Output!E16</f>
        <v>21.074815595363546</v>
      </c>
      <c r="H12">
        <f>Output!L16</f>
        <v>24.24518460116559</v>
      </c>
      <c r="I12" s="33">
        <f>Output!F16</f>
        <v>23780.821917808222</v>
      </c>
      <c r="J12" s="33">
        <f>Output!M16</f>
        <v>16414.959782373149</v>
      </c>
      <c r="K12" s="33">
        <f>Output!H16</f>
        <v>5964.4000000000005</v>
      </c>
      <c r="L12" s="33">
        <f>Output!O16</f>
        <v>3578.6400000000003</v>
      </c>
      <c r="M12" s="33">
        <f t="shared" si="3"/>
        <v>17816.42191780822</v>
      </c>
      <c r="N12" s="33">
        <f t="shared" si="4"/>
        <v>12836.31978237315</v>
      </c>
    </row>
    <row r="13" spans="1:14" x14ac:dyDescent="0.25">
      <c r="A13" s="22">
        <f>Output!A17</f>
        <v>45716</v>
      </c>
      <c r="B13" s="32">
        <f t="shared" si="1"/>
        <v>28</v>
      </c>
      <c r="C13" s="32">
        <f>Output!D17</f>
        <v>76712.328767123312</v>
      </c>
      <c r="D13" s="32">
        <f>Output!K17</f>
        <v>52951.483168945648</v>
      </c>
      <c r="E13" s="32">
        <f t="shared" si="2"/>
        <v>2739.7260273972611</v>
      </c>
      <c r="F13" s="32">
        <f t="shared" si="0"/>
        <v>1891.1243988909159</v>
      </c>
      <c r="G13">
        <f>Output!E17</f>
        <v>21.074815595363546</v>
      </c>
      <c r="H13">
        <f>Output!L17</f>
        <v>24.24518460116559</v>
      </c>
      <c r="I13" s="33">
        <f>Output!F17</f>
        <v>21479.452054794529</v>
      </c>
      <c r="J13" s="33">
        <f>Output!M17</f>
        <v>14826.415287304781</v>
      </c>
      <c r="K13" s="33">
        <f>Output!H17</f>
        <v>5387.2000000000007</v>
      </c>
      <c r="L13" s="33">
        <f>Output!O17</f>
        <v>3232.3200000000006</v>
      </c>
      <c r="M13" s="33">
        <f t="shared" si="3"/>
        <v>16092.252054794528</v>
      </c>
      <c r="N13" s="33">
        <f t="shared" si="4"/>
        <v>11594.095287304779</v>
      </c>
    </row>
    <row r="14" spans="1:14" x14ac:dyDescent="0.25">
      <c r="A14" s="22">
        <f>Output!A18</f>
        <v>45747</v>
      </c>
      <c r="B14" s="32">
        <f t="shared" si="1"/>
        <v>31</v>
      </c>
      <c r="C14" s="32">
        <f>Output!D18</f>
        <v>84931.50684931509</v>
      </c>
      <c r="D14" s="32">
        <f>Output!K18</f>
        <v>58624.856365618391</v>
      </c>
      <c r="E14" s="32">
        <f t="shared" si="2"/>
        <v>2739.7260273972611</v>
      </c>
      <c r="F14" s="32">
        <f t="shared" si="0"/>
        <v>1891.1243988909159</v>
      </c>
      <c r="G14">
        <f>Output!E18</f>
        <v>21.074815595363546</v>
      </c>
      <c r="H14">
        <f>Output!L18</f>
        <v>24.24518460116559</v>
      </c>
      <c r="I14" s="33">
        <f>Output!F18</f>
        <v>23780.821917808222</v>
      </c>
      <c r="J14" s="33">
        <f>Output!M18</f>
        <v>16414.959782373149</v>
      </c>
      <c r="K14" s="33">
        <f>Output!H18</f>
        <v>5964.4000000000005</v>
      </c>
      <c r="L14" s="33">
        <f>Output!O18</f>
        <v>3578.6400000000003</v>
      </c>
      <c r="M14" s="33">
        <f t="shared" si="3"/>
        <v>17816.42191780822</v>
      </c>
      <c r="N14" s="33">
        <f t="shared" si="4"/>
        <v>12836.31978237315</v>
      </c>
    </row>
    <row r="15" spans="1:14" x14ac:dyDescent="0.25">
      <c r="A15" s="22">
        <f>Output!A22</f>
        <v>45777</v>
      </c>
      <c r="B15" s="32">
        <f t="shared" si="1"/>
        <v>30</v>
      </c>
      <c r="C15" s="32">
        <f>Output!D22</f>
        <v>82191.780821917826</v>
      </c>
      <c r="D15" s="32">
        <f>Output!K22</f>
        <v>56733.731966727479</v>
      </c>
      <c r="E15" s="32">
        <f t="shared" si="2"/>
        <v>2739.7260273972611</v>
      </c>
      <c r="F15" s="32">
        <f t="shared" si="0"/>
        <v>1891.1243988909159</v>
      </c>
      <c r="G15">
        <f>Output!E22</f>
        <v>21.074815595363546</v>
      </c>
      <c r="H15">
        <f>Output!L22</f>
        <v>24.24518460116559</v>
      </c>
      <c r="I15" s="33">
        <f>Output!F22</f>
        <v>23013.698630136991</v>
      </c>
      <c r="J15" s="33">
        <f>Output!M22</f>
        <v>15885.444950683694</v>
      </c>
      <c r="K15" s="33">
        <f>Output!H22</f>
        <v>5772</v>
      </c>
      <c r="L15" s="33">
        <f>Output!O22</f>
        <v>3463.2000000000003</v>
      </c>
      <c r="M15" s="33">
        <f t="shared" si="3"/>
        <v>17241.698630136991</v>
      </c>
      <c r="N15" s="33">
        <f t="shared" si="4"/>
        <v>12422.244950683693</v>
      </c>
    </row>
    <row r="16" spans="1:14" x14ac:dyDescent="0.25">
      <c r="A16" s="22">
        <f>Output!A23</f>
        <v>45808</v>
      </c>
      <c r="B16" s="32">
        <f t="shared" si="1"/>
        <v>31</v>
      </c>
      <c r="C16" s="32">
        <f>Output!D23</f>
        <v>84931.50684931509</v>
      </c>
      <c r="D16" s="32">
        <f>Output!K23</f>
        <v>58624.856365618391</v>
      </c>
      <c r="E16" s="32">
        <f t="shared" si="2"/>
        <v>2739.7260273972611</v>
      </c>
      <c r="F16" s="32">
        <f t="shared" si="0"/>
        <v>1891.1243988909159</v>
      </c>
      <c r="G16">
        <f>Output!E23</f>
        <v>21.074815595363546</v>
      </c>
      <c r="H16">
        <f>Output!L23</f>
        <v>24.24518460116559</v>
      </c>
      <c r="I16" s="33">
        <f>Output!F23</f>
        <v>23780.821917808222</v>
      </c>
      <c r="J16" s="33">
        <f>Output!M23</f>
        <v>16414.959782373149</v>
      </c>
      <c r="K16" s="33">
        <f>Output!H23</f>
        <v>5964.4000000000005</v>
      </c>
      <c r="L16" s="33">
        <f>Output!O23</f>
        <v>3578.6400000000003</v>
      </c>
      <c r="M16" s="33">
        <f t="shared" ref="M16:M27" si="5">I16-K16</f>
        <v>17816.42191780822</v>
      </c>
      <c r="N16" s="33">
        <f t="shared" ref="N16:N27" si="6">J16-L16</f>
        <v>12836.31978237315</v>
      </c>
    </row>
    <row r="17" spans="1:14" x14ac:dyDescent="0.25">
      <c r="A17" s="22">
        <f>Output!A24</f>
        <v>45838</v>
      </c>
      <c r="B17" s="32">
        <f t="shared" si="1"/>
        <v>30</v>
      </c>
      <c r="C17" s="32">
        <f>Output!D24</f>
        <v>82191.780821917826</v>
      </c>
      <c r="D17" s="32">
        <f>Output!K24</f>
        <v>56733.731966727479</v>
      </c>
      <c r="E17" s="32">
        <f t="shared" si="2"/>
        <v>2739.7260273972611</v>
      </c>
      <c r="F17" s="32">
        <f t="shared" si="0"/>
        <v>1891.1243988909159</v>
      </c>
      <c r="G17">
        <f>Output!E24</f>
        <v>21.074815595363546</v>
      </c>
      <c r="H17">
        <f>Output!L24</f>
        <v>24.24518460116559</v>
      </c>
      <c r="I17" s="33">
        <f>Output!F24</f>
        <v>23013.698630136991</v>
      </c>
      <c r="J17" s="33">
        <f>Output!M24</f>
        <v>15885.444950683694</v>
      </c>
      <c r="K17" s="33">
        <f>Output!H24</f>
        <v>5772</v>
      </c>
      <c r="L17" s="33">
        <f>Output!O24</f>
        <v>3463.2000000000003</v>
      </c>
      <c r="M17" s="33">
        <f t="shared" si="5"/>
        <v>17241.698630136991</v>
      </c>
      <c r="N17" s="33">
        <f t="shared" si="6"/>
        <v>12422.244950683693</v>
      </c>
    </row>
    <row r="18" spans="1:14" x14ac:dyDescent="0.25">
      <c r="A18" s="22">
        <f>Output!A25</f>
        <v>45869</v>
      </c>
      <c r="B18" s="32">
        <f t="shared" si="1"/>
        <v>31</v>
      </c>
      <c r="C18" s="32">
        <f>Output!D25</f>
        <v>84931.50684931509</v>
      </c>
      <c r="D18" s="32">
        <f>Output!K25</f>
        <v>58624.856365618391</v>
      </c>
      <c r="E18" s="32">
        <f t="shared" si="2"/>
        <v>2739.7260273972611</v>
      </c>
      <c r="F18" s="32">
        <f t="shared" si="0"/>
        <v>1891.1243988909159</v>
      </c>
      <c r="G18">
        <f>Output!E25</f>
        <v>21.074815595363546</v>
      </c>
      <c r="H18">
        <f>Output!L25</f>
        <v>24.24518460116559</v>
      </c>
      <c r="I18" s="33">
        <f>Output!F25</f>
        <v>23780.821917808222</v>
      </c>
      <c r="J18" s="33">
        <f>Output!M25</f>
        <v>16414.959782373149</v>
      </c>
      <c r="K18" s="33">
        <f>Output!H25</f>
        <v>5964.4000000000005</v>
      </c>
      <c r="L18" s="33">
        <f>Output!O25</f>
        <v>3578.6400000000003</v>
      </c>
      <c r="M18" s="33">
        <f t="shared" si="5"/>
        <v>17816.42191780822</v>
      </c>
      <c r="N18" s="33">
        <f t="shared" si="6"/>
        <v>12836.31978237315</v>
      </c>
    </row>
    <row r="19" spans="1:14" x14ac:dyDescent="0.25">
      <c r="A19" s="22">
        <f>Output!A26</f>
        <v>45900</v>
      </c>
      <c r="B19" s="32">
        <f t="shared" si="1"/>
        <v>31</v>
      </c>
      <c r="C19" s="32">
        <f>Output!D26</f>
        <v>84931.50684931509</v>
      </c>
      <c r="D19" s="32">
        <f>Output!K26</f>
        <v>58624.856365618391</v>
      </c>
      <c r="E19" s="32">
        <f t="shared" si="2"/>
        <v>2739.7260273972611</v>
      </c>
      <c r="F19" s="32">
        <f t="shared" si="0"/>
        <v>1891.1243988909159</v>
      </c>
      <c r="G19">
        <f>Output!E26</f>
        <v>21.074815595363546</v>
      </c>
      <c r="H19">
        <f>Output!L26</f>
        <v>24.24518460116559</v>
      </c>
      <c r="I19" s="33">
        <f>Output!F26</f>
        <v>23780.821917808222</v>
      </c>
      <c r="J19" s="33">
        <f>Output!M26</f>
        <v>16414.959782373149</v>
      </c>
      <c r="K19" s="33">
        <f>Output!H26</f>
        <v>5964.4000000000005</v>
      </c>
      <c r="L19" s="33">
        <f>Output!O26</f>
        <v>3578.6400000000003</v>
      </c>
      <c r="M19" s="33">
        <f t="shared" si="5"/>
        <v>17816.42191780822</v>
      </c>
      <c r="N19" s="33">
        <f t="shared" si="6"/>
        <v>12836.31978237315</v>
      </c>
    </row>
    <row r="20" spans="1:14" x14ac:dyDescent="0.25">
      <c r="A20" s="22">
        <f>Output!A27</f>
        <v>45930</v>
      </c>
      <c r="B20" s="32">
        <f t="shared" si="1"/>
        <v>30</v>
      </c>
      <c r="C20" s="32">
        <f>Output!D27</f>
        <v>82191.780821917826</v>
      </c>
      <c r="D20" s="32">
        <f>Output!K27</f>
        <v>56733.731966727479</v>
      </c>
      <c r="E20" s="32">
        <f t="shared" si="2"/>
        <v>2739.7260273972611</v>
      </c>
      <c r="F20" s="32">
        <f t="shared" si="0"/>
        <v>1891.1243988909159</v>
      </c>
      <c r="G20">
        <f>Output!E27</f>
        <v>21.074815595363546</v>
      </c>
      <c r="H20">
        <f>Output!L27</f>
        <v>24.24518460116559</v>
      </c>
      <c r="I20" s="33">
        <f>Output!F27</f>
        <v>23013.698630136991</v>
      </c>
      <c r="J20" s="33">
        <f>Output!M27</f>
        <v>15885.444950683694</v>
      </c>
      <c r="K20" s="33">
        <f>Output!H27</f>
        <v>5772</v>
      </c>
      <c r="L20" s="33">
        <f>Output!O27</f>
        <v>3463.2000000000003</v>
      </c>
      <c r="M20" s="33">
        <f t="shared" si="5"/>
        <v>17241.698630136991</v>
      </c>
      <c r="N20" s="33">
        <f t="shared" si="6"/>
        <v>12422.244950683693</v>
      </c>
    </row>
    <row r="21" spans="1:14" x14ac:dyDescent="0.25">
      <c r="A21" s="22">
        <f>Output!A28</f>
        <v>45961</v>
      </c>
      <c r="B21" s="32">
        <f t="shared" si="1"/>
        <v>31</v>
      </c>
      <c r="C21" s="32">
        <f>Output!D28</f>
        <v>84931.50684931509</v>
      </c>
      <c r="D21" s="32">
        <f>Output!K28</f>
        <v>58624.856365618391</v>
      </c>
      <c r="E21" s="32">
        <f t="shared" si="2"/>
        <v>2739.7260273972611</v>
      </c>
      <c r="F21" s="32">
        <f t="shared" si="0"/>
        <v>1891.1243988909159</v>
      </c>
      <c r="G21">
        <f>Output!E28</f>
        <v>21.074815595363546</v>
      </c>
      <c r="H21">
        <f>Output!L28</f>
        <v>24.24518460116559</v>
      </c>
      <c r="I21" s="33">
        <f>Output!F28</f>
        <v>23780.821917808222</v>
      </c>
      <c r="J21" s="33">
        <f>Output!M28</f>
        <v>16414.959782373149</v>
      </c>
      <c r="K21" s="33">
        <f>Output!H28</f>
        <v>5964.4000000000005</v>
      </c>
      <c r="L21" s="33">
        <f>Output!O28</f>
        <v>3578.6400000000003</v>
      </c>
      <c r="M21" s="33">
        <f t="shared" si="5"/>
        <v>17816.42191780822</v>
      </c>
      <c r="N21" s="33">
        <f t="shared" si="6"/>
        <v>12836.31978237315</v>
      </c>
    </row>
    <row r="22" spans="1:14" x14ac:dyDescent="0.25">
      <c r="A22" s="22">
        <f>Output!A29</f>
        <v>45991</v>
      </c>
      <c r="B22" s="32">
        <f t="shared" si="1"/>
        <v>30</v>
      </c>
      <c r="C22" s="32">
        <f>Output!D29</f>
        <v>82191.780821917826</v>
      </c>
      <c r="D22" s="32">
        <f>Output!K29</f>
        <v>56733.731966727479</v>
      </c>
      <c r="E22" s="32">
        <f t="shared" si="2"/>
        <v>2739.7260273972611</v>
      </c>
      <c r="F22" s="32">
        <f t="shared" si="0"/>
        <v>1891.1243988909159</v>
      </c>
      <c r="G22">
        <f>Output!E29</f>
        <v>21.074815595363546</v>
      </c>
      <c r="H22">
        <f>Output!L29</f>
        <v>24.24518460116559</v>
      </c>
      <c r="I22" s="33">
        <f>Output!F29</f>
        <v>23013.698630136991</v>
      </c>
      <c r="J22" s="33">
        <f>Output!M29</f>
        <v>15885.444950683694</v>
      </c>
      <c r="K22" s="33">
        <f>Output!H29</f>
        <v>5772</v>
      </c>
      <c r="L22" s="33">
        <f>Output!O29</f>
        <v>3463.2000000000003</v>
      </c>
      <c r="M22" s="33">
        <f t="shared" si="5"/>
        <v>17241.698630136991</v>
      </c>
      <c r="N22" s="33">
        <f t="shared" si="6"/>
        <v>12422.244950683693</v>
      </c>
    </row>
    <row r="23" spans="1:14" x14ac:dyDescent="0.25">
      <c r="A23" s="22">
        <f>Output!A30</f>
        <v>46022</v>
      </c>
      <c r="B23" s="32">
        <f t="shared" si="1"/>
        <v>31</v>
      </c>
      <c r="C23" s="32">
        <f>Output!D30</f>
        <v>84931.50684931509</v>
      </c>
      <c r="D23" s="32">
        <f>Output!K30</f>
        <v>58624.856365618391</v>
      </c>
      <c r="E23" s="32">
        <f t="shared" si="2"/>
        <v>2739.7260273972611</v>
      </c>
      <c r="F23" s="32">
        <f t="shared" si="0"/>
        <v>1891.1243988909159</v>
      </c>
      <c r="G23">
        <f>Output!E30</f>
        <v>21.074815595363546</v>
      </c>
      <c r="H23">
        <f>Output!L30</f>
        <v>24.24518460116559</v>
      </c>
      <c r="I23" s="33">
        <f>Output!F30</f>
        <v>23780.821917808222</v>
      </c>
      <c r="J23" s="33">
        <f>Output!M30</f>
        <v>16414.959782373149</v>
      </c>
      <c r="K23" s="33">
        <f>Output!H30</f>
        <v>5964.4000000000005</v>
      </c>
      <c r="L23" s="33">
        <f>Output!O30</f>
        <v>3578.6400000000003</v>
      </c>
      <c r="M23" s="33">
        <f t="shared" si="5"/>
        <v>17816.42191780822</v>
      </c>
      <c r="N23" s="33">
        <f t="shared" si="6"/>
        <v>12836.31978237315</v>
      </c>
    </row>
    <row r="24" spans="1:14" x14ac:dyDescent="0.25">
      <c r="A24" s="22">
        <f>Output!A31</f>
        <v>46053</v>
      </c>
      <c r="B24" s="32">
        <f t="shared" si="1"/>
        <v>31</v>
      </c>
      <c r="C24" s="32">
        <f>Output!D31</f>
        <v>84931.50684931509</v>
      </c>
      <c r="D24" s="32">
        <f>Output!K31</f>
        <v>58624.856365618391</v>
      </c>
      <c r="E24" s="32">
        <f t="shared" si="2"/>
        <v>2739.7260273972611</v>
      </c>
      <c r="F24" s="32">
        <f t="shared" si="0"/>
        <v>1891.1243988909159</v>
      </c>
      <c r="G24">
        <f>Output!E31</f>
        <v>21.074815595363546</v>
      </c>
      <c r="H24">
        <f>Output!L31</f>
        <v>24.24518460116559</v>
      </c>
      <c r="I24" s="33">
        <f>Output!F31</f>
        <v>23780.821917808222</v>
      </c>
      <c r="J24" s="33">
        <f>Output!M31</f>
        <v>16414.959782373149</v>
      </c>
      <c r="K24" s="33">
        <f>Output!H31</f>
        <v>5964.4000000000005</v>
      </c>
      <c r="L24" s="33">
        <f>Output!O31</f>
        <v>3578.6400000000003</v>
      </c>
      <c r="M24" s="33">
        <f t="shared" si="5"/>
        <v>17816.42191780822</v>
      </c>
      <c r="N24" s="33">
        <f t="shared" si="6"/>
        <v>12836.31978237315</v>
      </c>
    </row>
    <row r="25" spans="1:14" x14ac:dyDescent="0.25">
      <c r="A25" s="22">
        <f>Output!A32</f>
        <v>46081</v>
      </c>
      <c r="B25" s="32">
        <f t="shared" si="1"/>
        <v>28</v>
      </c>
      <c r="C25" s="32">
        <f>Output!D32</f>
        <v>76712.328767123312</v>
      </c>
      <c r="D25" s="32">
        <f>Output!K32</f>
        <v>52951.483168945648</v>
      </c>
      <c r="E25" s="32">
        <f t="shared" si="2"/>
        <v>2739.7260273972611</v>
      </c>
      <c r="F25" s="32">
        <f t="shared" si="0"/>
        <v>1891.1243988909159</v>
      </c>
      <c r="G25">
        <f>Output!E32</f>
        <v>21.074815595363546</v>
      </c>
      <c r="H25">
        <f>Output!L32</f>
        <v>24.24518460116559</v>
      </c>
      <c r="I25" s="33">
        <f>Output!F32</f>
        <v>21479.452054794529</v>
      </c>
      <c r="J25" s="33">
        <f>Output!M32</f>
        <v>14826.415287304781</v>
      </c>
      <c r="K25" s="33">
        <f>Output!H32</f>
        <v>5387.2000000000007</v>
      </c>
      <c r="L25" s="33">
        <f>Output!O32</f>
        <v>3232.3200000000006</v>
      </c>
      <c r="M25" s="33">
        <f t="shared" si="5"/>
        <v>16092.252054794528</v>
      </c>
      <c r="N25" s="33">
        <f t="shared" si="6"/>
        <v>11594.095287304779</v>
      </c>
    </row>
    <row r="26" spans="1:14" x14ac:dyDescent="0.25">
      <c r="A26" s="22">
        <f>Output!A33</f>
        <v>46112</v>
      </c>
      <c r="B26" s="32">
        <f t="shared" si="1"/>
        <v>31</v>
      </c>
      <c r="C26" s="32">
        <f>Output!D33</f>
        <v>84931.50684931509</v>
      </c>
      <c r="D26" s="32">
        <f>Output!K33</f>
        <v>58624.856365618391</v>
      </c>
      <c r="E26" s="32">
        <f t="shared" si="2"/>
        <v>2739.7260273972611</v>
      </c>
      <c r="F26" s="32">
        <f t="shared" si="0"/>
        <v>1891.1243988909159</v>
      </c>
      <c r="G26">
        <f>Output!E33</f>
        <v>21.074815595363546</v>
      </c>
      <c r="H26">
        <f>Output!L33</f>
        <v>24.24518460116559</v>
      </c>
      <c r="I26" s="33">
        <f>Output!F33</f>
        <v>23780.821917808222</v>
      </c>
      <c r="J26" s="33">
        <f>Output!M33</f>
        <v>16414.959782373149</v>
      </c>
      <c r="K26" s="33">
        <f>Output!H33</f>
        <v>5964.4000000000005</v>
      </c>
      <c r="L26" s="33">
        <f>Output!O33</f>
        <v>3578.6400000000003</v>
      </c>
      <c r="M26" s="33">
        <f t="shared" si="5"/>
        <v>17816.42191780822</v>
      </c>
      <c r="N26" s="33">
        <f t="shared" si="6"/>
        <v>12836.31978237315</v>
      </c>
    </row>
    <row r="27" spans="1:14" x14ac:dyDescent="0.25">
      <c r="A27" s="22">
        <f>Output!A37</f>
        <v>46142</v>
      </c>
      <c r="B27" s="32">
        <f t="shared" si="1"/>
        <v>30</v>
      </c>
      <c r="C27" s="32">
        <f>Output!D37</f>
        <v>82191.780821917826</v>
      </c>
      <c r="D27" s="32">
        <f>Output!K37</f>
        <v>56733.731966727479</v>
      </c>
      <c r="E27" s="32">
        <f t="shared" si="2"/>
        <v>2739.7260273972611</v>
      </c>
      <c r="F27" s="32">
        <f t="shared" si="0"/>
        <v>1891.1243988909159</v>
      </c>
      <c r="G27">
        <f>Output!E37</f>
        <v>21.074815595363546</v>
      </c>
      <c r="H27">
        <f>Output!L37</f>
        <v>24.24518460116559</v>
      </c>
      <c r="I27" s="33">
        <f>Output!F37</f>
        <v>23013.698630136991</v>
      </c>
      <c r="J27" s="33">
        <f>Output!M37</f>
        <v>15885.444950683694</v>
      </c>
      <c r="K27" s="33">
        <f>Output!H37</f>
        <v>5772</v>
      </c>
      <c r="L27" s="33">
        <f>Output!O37</f>
        <v>3463.2000000000003</v>
      </c>
      <c r="M27" s="33">
        <f t="shared" si="5"/>
        <v>17241.698630136991</v>
      </c>
      <c r="N27" s="33">
        <f t="shared" si="6"/>
        <v>12422.244950683693</v>
      </c>
    </row>
    <row r="28" spans="1:14" x14ac:dyDescent="0.25">
      <c r="A28" s="22">
        <f>Output!A38</f>
        <v>46173</v>
      </c>
      <c r="B28" s="32">
        <f t="shared" si="1"/>
        <v>31</v>
      </c>
      <c r="C28" s="32">
        <f>Output!D38</f>
        <v>84931.50684931509</v>
      </c>
      <c r="D28" s="32">
        <f>Output!K38</f>
        <v>58624.856365618391</v>
      </c>
      <c r="E28" s="32">
        <f t="shared" si="2"/>
        <v>2739.7260273972611</v>
      </c>
      <c r="F28" s="32">
        <f t="shared" si="0"/>
        <v>1891.1243988909159</v>
      </c>
      <c r="G28">
        <f>Output!E38</f>
        <v>21.074815595363546</v>
      </c>
      <c r="H28">
        <f>Output!L38</f>
        <v>24.24518460116559</v>
      </c>
      <c r="I28" s="33">
        <f>Output!F38</f>
        <v>23780.821917808222</v>
      </c>
      <c r="J28" s="33">
        <f>Output!M38</f>
        <v>16414.959782373149</v>
      </c>
      <c r="K28" s="33">
        <f>Output!H38</f>
        <v>5964.4000000000005</v>
      </c>
      <c r="L28" s="33">
        <f>Output!O38</f>
        <v>3578.6400000000003</v>
      </c>
      <c r="M28" s="33">
        <f t="shared" ref="M28:M38" si="7">I28-K28</f>
        <v>17816.42191780822</v>
      </c>
      <c r="N28" s="33">
        <f t="shared" ref="N28:N38" si="8">J28-L28</f>
        <v>12836.31978237315</v>
      </c>
    </row>
    <row r="29" spans="1:14" x14ac:dyDescent="0.25">
      <c r="A29" s="22">
        <f>Output!A39</f>
        <v>46203</v>
      </c>
      <c r="B29" s="32">
        <f t="shared" si="1"/>
        <v>30</v>
      </c>
      <c r="C29" s="32">
        <f>Output!D39</f>
        <v>82191.780821917826</v>
      </c>
      <c r="D29" s="32">
        <f>Output!K39</f>
        <v>56733.731966727479</v>
      </c>
      <c r="E29" s="32">
        <f t="shared" si="2"/>
        <v>2739.7260273972611</v>
      </c>
      <c r="F29" s="32">
        <f t="shared" si="0"/>
        <v>1891.1243988909159</v>
      </c>
      <c r="G29">
        <f>Output!E39</f>
        <v>21.074815595363546</v>
      </c>
      <c r="H29">
        <f>Output!L39</f>
        <v>24.24518460116559</v>
      </c>
      <c r="I29" s="33">
        <f>Output!F39</f>
        <v>23013.698630136991</v>
      </c>
      <c r="J29" s="33">
        <f>Output!M39</f>
        <v>15885.444950683694</v>
      </c>
      <c r="K29" s="33">
        <f>Output!H39</f>
        <v>5772</v>
      </c>
      <c r="L29" s="33">
        <f>Output!O39</f>
        <v>3463.2000000000003</v>
      </c>
      <c r="M29" s="33">
        <f t="shared" si="7"/>
        <v>17241.698630136991</v>
      </c>
      <c r="N29" s="33">
        <f t="shared" si="8"/>
        <v>12422.244950683693</v>
      </c>
    </row>
    <row r="30" spans="1:14" x14ac:dyDescent="0.25">
      <c r="A30" s="22">
        <f>Output!A40</f>
        <v>46234</v>
      </c>
      <c r="B30" s="32">
        <f t="shared" si="1"/>
        <v>31</v>
      </c>
      <c r="C30" s="32">
        <f>Output!D40</f>
        <v>84931.50684931509</v>
      </c>
      <c r="D30" s="32">
        <f>Output!K40</f>
        <v>58624.856365618391</v>
      </c>
      <c r="E30" s="32">
        <f t="shared" si="2"/>
        <v>2739.7260273972611</v>
      </c>
      <c r="F30" s="32">
        <f t="shared" si="0"/>
        <v>1891.1243988909159</v>
      </c>
      <c r="G30">
        <f>Output!E40</f>
        <v>21.074815595363546</v>
      </c>
      <c r="H30">
        <f>Output!L40</f>
        <v>24.24518460116559</v>
      </c>
      <c r="I30" s="33">
        <f>Output!F40</f>
        <v>23780.821917808222</v>
      </c>
      <c r="J30" s="33">
        <f>Output!M40</f>
        <v>16414.959782373149</v>
      </c>
      <c r="K30" s="33">
        <f>Output!H40</f>
        <v>5964.4000000000005</v>
      </c>
      <c r="L30" s="33">
        <f>Output!O40</f>
        <v>3578.6400000000003</v>
      </c>
      <c r="M30" s="33">
        <f t="shared" si="7"/>
        <v>17816.42191780822</v>
      </c>
      <c r="N30" s="33">
        <f t="shared" si="8"/>
        <v>12836.31978237315</v>
      </c>
    </row>
    <row r="31" spans="1:14" x14ac:dyDescent="0.25">
      <c r="A31" s="22">
        <f>Output!A41</f>
        <v>46265</v>
      </c>
      <c r="B31" s="32">
        <f t="shared" si="1"/>
        <v>31</v>
      </c>
      <c r="C31" s="32">
        <f>Output!D41</f>
        <v>84931.50684931509</v>
      </c>
      <c r="D31" s="32">
        <f>Output!K41</f>
        <v>58624.856365618391</v>
      </c>
      <c r="E31" s="32">
        <f t="shared" si="2"/>
        <v>2739.7260273972611</v>
      </c>
      <c r="F31" s="32">
        <f t="shared" si="0"/>
        <v>1891.1243988909159</v>
      </c>
      <c r="G31">
        <f>Output!E41</f>
        <v>21.074815595363546</v>
      </c>
      <c r="H31">
        <f>Output!L41</f>
        <v>24.24518460116559</v>
      </c>
      <c r="I31" s="33">
        <f>Output!F41</f>
        <v>23780.821917808222</v>
      </c>
      <c r="J31" s="33">
        <f>Output!M41</f>
        <v>16414.959782373149</v>
      </c>
      <c r="K31" s="33">
        <f>Output!H41</f>
        <v>5964.4000000000005</v>
      </c>
      <c r="L31" s="33">
        <f>Output!O41</f>
        <v>3578.6400000000003</v>
      </c>
      <c r="M31" s="33">
        <f t="shared" si="7"/>
        <v>17816.42191780822</v>
      </c>
      <c r="N31" s="33">
        <f t="shared" si="8"/>
        <v>12836.31978237315</v>
      </c>
    </row>
    <row r="32" spans="1:14" x14ac:dyDescent="0.25">
      <c r="A32" s="22">
        <f>Output!A42</f>
        <v>46295</v>
      </c>
      <c r="B32" s="32">
        <f t="shared" si="1"/>
        <v>30</v>
      </c>
      <c r="C32" s="32">
        <f>Output!D42</f>
        <v>82191.780821917826</v>
      </c>
      <c r="D32" s="32">
        <f>Output!K42</f>
        <v>56733.731966727479</v>
      </c>
      <c r="E32" s="32">
        <f t="shared" si="2"/>
        <v>2739.7260273972611</v>
      </c>
      <c r="F32" s="32">
        <f t="shared" si="0"/>
        <v>1891.1243988909159</v>
      </c>
      <c r="G32">
        <f>Output!E42</f>
        <v>21.074815595363546</v>
      </c>
      <c r="H32">
        <f>Output!L42</f>
        <v>24.24518460116559</v>
      </c>
      <c r="I32" s="33">
        <f>Output!F42</f>
        <v>23013.698630136991</v>
      </c>
      <c r="J32" s="33">
        <f>Output!M42</f>
        <v>15885.444950683694</v>
      </c>
      <c r="K32" s="33">
        <f>Output!H42</f>
        <v>5772</v>
      </c>
      <c r="L32" s="33">
        <f>Output!O42</f>
        <v>3463.2000000000003</v>
      </c>
      <c r="M32" s="33">
        <f t="shared" si="7"/>
        <v>17241.698630136991</v>
      </c>
      <c r="N32" s="33">
        <f t="shared" si="8"/>
        <v>12422.244950683693</v>
      </c>
    </row>
    <row r="33" spans="1:14" x14ac:dyDescent="0.25">
      <c r="A33" s="22">
        <f>Output!A43</f>
        <v>46326</v>
      </c>
      <c r="B33" s="32">
        <f t="shared" si="1"/>
        <v>31</v>
      </c>
      <c r="C33" s="32">
        <f>Output!D43</f>
        <v>84931.50684931509</v>
      </c>
      <c r="D33" s="32">
        <f>Output!K43</f>
        <v>58624.856365618391</v>
      </c>
      <c r="E33" s="32">
        <f t="shared" si="2"/>
        <v>2739.7260273972611</v>
      </c>
      <c r="F33" s="32">
        <f t="shared" si="0"/>
        <v>1891.1243988909159</v>
      </c>
      <c r="G33">
        <f>Output!E43</f>
        <v>21.074815595363546</v>
      </c>
      <c r="H33">
        <f>Output!L43</f>
        <v>24.24518460116559</v>
      </c>
      <c r="I33" s="33">
        <f>Output!F43</f>
        <v>23780.821917808222</v>
      </c>
      <c r="J33" s="33">
        <f>Output!M43</f>
        <v>16414.959782373149</v>
      </c>
      <c r="K33" s="33">
        <f>Output!H43</f>
        <v>5964.4000000000005</v>
      </c>
      <c r="L33" s="33">
        <f>Output!O43</f>
        <v>3578.6400000000003</v>
      </c>
      <c r="M33" s="33">
        <f t="shared" si="7"/>
        <v>17816.42191780822</v>
      </c>
      <c r="N33" s="33">
        <f t="shared" si="8"/>
        <v>12836.31978237315</v>
      </c>
    </row>
    <row r="34" spans="1:14" x14ac:dyDescent="0.25">
      <c r="A34" s="22">
        <f>Output!A44</f>
        <v>46356</v>
      </c>
      <c r="B34" s="32">
        <f t="shared" si="1"/>
        <v>30</v>
      </c>
      <c r="C34" s="32">
        <f>Output!D44</f>
        <v>82191.780821917826</v>
      </c>
      <c r="D34" s="32">
        <f>Output!K44</f>
        <v>56733.731966727479</v>
      </c>
      <c r="E34" s="32">
        <f t="shared" si="2"/>
        <v>2739.7260273972611</v>
      </c>
      <c r="F34" s="32">
        <f t="shared" si="0"/>
        <v>1891.1243988909159</v>
      </c>
      <c r="G34">
        <f>Output!E44</f>
        <v>21.074815595363546</v>
      </c>
      <c r="H34">
        <f>Output!L44</f>
        <v>24.24518460116559</v>
      </c>
      <c r="I34" s="33">
        <f>Output!F44</f>
        <v>23013.698630136991</v>
      </c>
      <c r="J34" s="33">
        <f>Output!M44</f>
        <v>15885.444950683694</v>
      </c>
      <c r="K34" s="33">
        <f>Output!H44</f>
        <v>5772</v>
      </c>
      <c r="L34" s="33">
        <f>Output!O44</f>
        <v>3463.2000000000003</v>
      </c>
      <c r="M34" s="33">
        <f t="shared" si="7"/>
        <v>17241.698630136991</v>
      </c>
      <c r="N34" s="33">
        <f t="shared" si="8"/>
        <v>12422.244950683693</v>
      </c>
    </row>
    <row r="35" spans="1:14" x14ac:dyDescent="0.25">
      <c r="A35" s="22">
        <f>Output!A45</f>
        <v>46387</v>
      </c>
      <c r="B35" s="32">
        <f t="shared" si="1"/>
        <v>31</v>
      </c>
      <c r="C35" s="32">
        <f>Output!D45</f>
        <v>84931.50684931509</v>
      </c>
      <c r="D35" s="32">
        <f>Output!K45</f>
        <v>58624.856365618391</v>
      </c>
      <c r="E35" s="32">
        <f t="shared" si="2"/>
        <v>2739.7260273972611</v>
      </c>
      <c r="F35" s="32">
        <f t="shared" si="0"/>
        <v>1891.1243988909159</v>
      </c>
      <c r="G35">
        <f>Output!E45</f>
        <v>21.074815595363546</v>
      </c>
      <c r="H35">
        <f>Output!L45</f>
        <v>24.24518460116559</v>
      </c>
      <c r="I35" s="33">
        <f>Output!F45</f>
        <v>23780.821917808222</v>
      </c>
      <c r="J35" s="33">
        <f>Output!M45</f>
        <v>16414.959782373149</v>
      </c>
      <c r="K35" s="33">
        <f>Output!H45</f>
        <v>5964.4000000000005</v>
      </c>
      <c r="L35" s="33">
        <f>Output!O45</f>
        <v>3578.6400000000003</v>
      </c>
      <c r="M35" s="33">
        <f t="shared" si="7"/>
        <v>17816.42191780822</v>
      </c>
      <c r="N35" s="33">
        <f t="shared" si="8"/>
        <v>12836.31978237315</v>
      </c>
    </row>
    <row r="36" spans="1:14" x14ac:dyDescent="0.25">
      <c r="A36" s="22">
        <f>Output!A46</f>
        <v>46418</v>
      </c>
      <c r="B36" s="32">
        <f t="shared" si="1"/>
        <v>31</v>
      </c>
      <c r="C36" s="32">
        <f>Output!D46</f>
        <v>84931.50684931509</v>
      </c>
      <c r="D36" s="32">
        <f>Output!K46</f>
        <v>58624.856365618391</v>
      </c>
      <c r="E36" s="32">
        <f t="shared" si="2"/>
        <v>2739.7260273972611</v>
      </c>
      <c r="F36" s="32">
        <f t="shared" si="0"/>
        <v>1891.1243988909159</v>
      </c>
      <c r="G36">
        <f>Output!E46</f>
        <v>21.074815595363546</v>
      </c>
      <c r="H36">
        <f>Output!L46</f>
        <v>24.24518460116559</v>
      </c>
      <c r="I36" s="33">
        <f>Output!F46</f>
        <v>23780.821917808222</v>
      </c>
      <c r="J36" s="33">
        <f>Output!M46</f>
        <v>16414.959782373149</v>
      </c>
      <c r="K36" s="33">
        <f>Output!H46</f>
        <v>5964.4000000000005</v>
      </c>
      <c r="L36" s="33">
        <f>Output!O46</f>
        <v>3578.6400000000003</v>
      </c>
      <c r="M36" s="33">
        <f t="shared" si="7"/>
        <v>17816.42191780822</v>
      </c>
      <c r="N36" s="33">
        <f t="shared" si="8"/>
        <v>12836.31978237315</v>
      </c>
    </row>
    <row r="37" spans="1:14" x14ac:dyDescent="0.25">
      <c r="A37" s="22">
        <f>Output!A47</f>
        <v>46446</v>
      </c>
      <c r="B37" s="32">
        <f t="shared" si="1"/>
        <v>28</v>
      </c>
      <c r="C37" s="32">
        <f>Output!D47</f>
        <v>76712.328767123312</v>
      </c>
      <c r="D37" s="32">
        <f>Output!K47</f>
        <v>52951.483168945648</v>
      </c>
      <c r="E37" s="32">
        <f t="shared" si="2"/>
        <v>2739.7260273972611</v>
      </c>
      <c r="F37" s="32">
        <f t="shared" si="0"/>
        <v>1891.1243988909159</v>
      </c>
      <c r="G37">
        <f>Output!E47</f>
        <v>21.074815595363546</v>
      </c>
      <c r="H37">
        <f>Output!L47</f>
        <v>24.24518460116559</v>
      </c>
      <c r="I37" s="33">
        <f>Output!F47</f>
        <v>21479.452054794529</v>
      </c>
      <c r="J37" s="33">
        <f>Output!M47</f>
        <v>14826.415287304781</v>
      </c>
      <c r="K37" s="33">
        <f>Output!H47</f>
        <v>5387.2000000000007</v>
      </c>
      <c r="L37" s="33">
        <f>Output!O47</f>
        <v>3232.3200000000006</v>
      </c>
      <c r="M37" s="33">
        <f t="shared" si="7"/>
        <v>16092.252054794528</v>
      </c>
      <c r="N37" s="33">
        <f t="shared" si="8"/>
        <v>11594.095287304779</v>
      </c>
    </row>
    <row r="38" spans="1:14" x14ac:dyDescent="0.25">
      <c r="A38" s="22">
        <f>Output!A48</f>
        <v>46477</v>
      </c>
      <c r="B38" s="32">
        <f t="shared" si="1"/>
        <v>31</v>
      </c>
      <c r="C38" s="32">
        <f>Output!D48</f>
        <v>84931.50684931509</v>
      </c>
      <c r="D38" s="32">
        <f>Output!K48</f>
        <v>58624.856365618391</v>
      </c>
      <c r="E38" s="32">
        <f t="shared" si="2"/>
        <v>2739.7260273972611</v>
      </c>
      <c r="F38" s="32">
        <f t="shared" si="0"/>
        <v>1891.1243988909159</v>
      </c>
      <c r="G38">
        <f>Output!E48</f>
        <v>21.074815595363546</v>
      </c>
      <c r="H38">
        <f>Output!L48</f>
        <v>24.24518460116559</v>
      </c>
      <c r="I38" s="33">
        <f>Output!F48</f>
        <v>23780.821917808222</v>
      </c>
      <c r="J38" s="33">
        <f>Output!M48</f>
        <v>16414.959782373149</v>
      </c>
      <c r="K38" s="33">
        <f>Output!H48</f>
        <v>5964.4000000000005</v>
      </c>
      <c r="L38" s="33">
        <f>Output!O48</f>
        <v>3578.6400000000003</v>
      </c>
      <c r="M38" s="33">
        <f t="shared" si="7"/>
        <v>17816.42191780822</v>
      </c>
      <c r="N38" s="33">
        <f t="shared" si="8"/>
        <v>12836.31978237315</v>
      </c>
    </row>
    <row r="39" spans="1:14" x14ac:dyDescent="0.25">
      <c r="A39" s="22"/>
      <c r="B39" s="32"/>
    </row>
    <row r="40" spans="1:14" x14ac:dyDescent="0.25">
      <c r="A40" s="22"/>
      <c r="B40" s="2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A67"/>
  <sheetViews>
    <sheetView topLeftCell="K1" workbookViewId="0">
      <selection activeCell="AC16" sqref="AC16"/>
    </sheetView>
  </sheetViews>
  <sheetFormatPr defaultRowHeight="12.5" x14ac:dyDescent="0.25"/>
  <cols>
    <col min="1" max="1" width="18.81640625" bestFit="1" customWidth="1"/>
    <col min="2" max="2" width="10.26953125" bestFit="1" customWidth="1"/>
    <col min="4" max="4" width="10.453125" customWidth="1"/>
    <col min="17" max="17" width="11.26953125" bestFit="1" customWidth="1"/>
    <col min="19" max="19" width="9.7265625" bestFit="1" customWidth="1"/>
    <col min="21" max="21" width="10.26953125" bestFit="1" customWidth="1"/>
    <col min="29" max="29" width="10.26953125" bestFit="1" customWidth="1"/>
    <col min="30" max="30" width="10.453125" customWidth="1"/>
    <col min="39" max="39" width="10.54296875" customWidth="1"/>
    <col min="49" max="49" width="11.26953125" bestFit="1" customWidth="1"/>
    <col min="52" max="52" width="10.26953125" bestFit="1" customWidth="1"/>
    <col min="53" max="53" width="12.81640625" bestFit="1" customWidth="1"/>
  </cols>
  <sheetData>
    <row r="1" spans="1:53" ht="13" thickBot="1" x14ac:dyDescent="0.3">
      <c r="A1" s="6" t="s">
        <v>43</v>
      </c>
      <c r="B1" s="7"/>
      <c r="D1" s="6" t="s">
        <v>24</v>
      </c>
      <c r="E1" s="7">
        <v>30</v>
      </c>
      <c r="F1" s="7">
        <v>61</v>
      </c>
      <c r="G1" s="7">
        <v>91</v>
      </c>
      <c r="H1" s="7">
        <v>122</v>
      </c>
      <c r="I1" s="7">
        <v>152</v>
      </c>
      <c r="J1" s="7">
        <v>183</v>
      </c>
      <c r="K1" s="7">
        <v>213</v>
      </c>
      <c r="L1" s="7">
        <v>244</v>
      </c>
      <c r="M1" s="7">
        <v>274</v>
      </c>
      <c r="N1" s="7">
        <v>305</v>
      </c>
      <c r="O1" s="7">
        <v>335</v>
      </c>
      <c r="P1" s="7">
        <v>365</v>
      </c>
      <c r="Q1" s="7">
        <v>395</v>
      </c>
      <c r="R1" s="7">
        <v>425</v>
      </c>
      <c r="S1" s="8"/>
      <c r="U1" s="6"/>
      <c r="V1" s="7"/>
      <c r="W1" s="7"/>
      <c r="X1" s="7"/>
      <c r="Y1" s="7"/>
      <c r="Z1" s="7"/>
      <c r="AA1" s="7"/>
      <c r="AB1" s="7"/>
      <c r="AC1" s="7"/>
      <c r="AD1" s="7"/>
      <c r="AE1" s="7"/>
      <c r="AF1" s="7"/>
      <c r="AG1" s="7"/>
      <c r="AH1" s="7"/>
      <c r="AI1" s="7"/>
      <c r="AJ1" s="8"/>
    </row>
    <row r="2" spans="1:53" x14ac:dyDescent="0.25">
      <c r="A2" s="9"/>
      <c r="B2" s="23" t="s">
        <v>34</v>
      </c>
      <c r="D2" s="9" t="s">
        <v>154</v>
      </c>
      <c r="E2" s="282">
        <f>'Culling rate'!F5</f>
        <v>1</v>
      </c>
      <c r="F2" s="282">
        <f>IF(Input!$F$12-Input!F13&gt;=F1,'Culling rate'!F6,IF(Input!$F$12-Input!F13&lt;E1,0,(Input!$F$12-Input!F13-E1)/30))</f>
        <v>1</v>
      </c>
      <c r="G2" s="282">
        <f>IF(Input!$F$12-Input!F13&gt;=G1,'Culling rate'!F7,IF(Input!$F$12-Input!F13&lt;F1,0,(Input!$F$12-Input!F13-F1)/30))</f>
        <v>1</v>
      </c>
      <c r="H2" s="282">
        <f>IF(Input!$F$12-Input!F13&gt;=H1,'Culling rate'!F8,IF(Input!$F$12-Input!F13&lt;G1,0,(Input!$F$12-Input!F13-G1)/30))</f>
        <v>1</v>
      </c>
      <c r="I2" s="282">
        <f>IF(Input!$F$12-Input!F13&gt;=I1,'Culling rate'!F9,IF(Input!$F$12-Input!F13&lt;H1,0,(Input!$F$12-Input!F13-H1)/30))</f>
        <v>1</v>
      </c>
      <c r="J2" s="282">
        <f>IF(Input!$F$12-Input!F13&gt;=J1,'Culling rate'!F10,IF(Input!$F$12-Input!F13&lt;I1,0,(Input!$F$12-Input!F13-I1)/30))</f>
        <v>1</v>
      </c>
      <c r="K2" s="282">
        <f>IF(Input!$F$12-Input!F13&gt;=K1,'Culling rate'!F11,IF(Input!$F$12-Input!F13&lt;J1,0,(Input!$F$12-Input!F13-J1)/30))</f>
        <v>1</v>
      </c>
      <c r="L2" s="282">
        <f>IF(Input!$F$12-Input!F13&gt;=L1,'Culling rate'!F12,IF(Input!$F$12-Input!F13&lt;K1,0,(Input!$F$12-Input!F13-K1)/30))</f>
        <v>1</v>
      </c>
      <c r="M2" s="282">
        <f>IF(Input!$F$12-Input!F13&gt;=M1,'Culling rate'!F13,IF(Input!$F$12-Input!F13&lt;L1,0,(Input!$F$12-Input!F13-L1)/30))</f>
        <v>1</v>
      </c>
      <c r="N2" s="282">
        <f>IF(Input!$F$12-Input!F13&gt;=N1,'Culling rate'!F14,IF(Input!$F$12-Input!F13&lt;M1,0,(Input!$F$12-Input!F13-M1)/30))</f>
        <v>1</v>
      </c>
      <c r="O2" s="282">
        <f>IF(Input!$F$12-Input!F13&gt;=O1,'Culling rate'!F15,IF(Input!$F$12-Input!F13&lt;N1,0,(Input!$F$12-Input!F13-N1)/30))</f>
        <v>0</v>
      </c>
      <c r="P2" s="282">
        <f>IF(Input!$F$12-Input!F13&gt;=P1,'Culling rate'!F16,IF(Input!$F$12-Input!F13&lt;O1,0,(Input!$F$12-Input!F13-O1)/30))</f>
        <v>0</v>
      </c>
      <c r="Q2" s="282">
        <f>IF(Input!$F$12-Input!F13&gt;=Q1,'Culling rate'!F17,IF(Input!$F$12-Input!F13&lt;P1,0,(Input!$F$12-Input!F13-P1)/30))</f>
        <v>0</v>
      </c>
      <c r="R2" s="282">
        <f>IF(Input!$F$12-Input!F13&gt;=R1,'Culling rate'!F18,IF(Input!$F$12-Input!F13&lt;Q1,0,(Input!$F$12-Input!F13-Q1)/30))</f>
        <v>0</v>
      </c>
      <c r="S2" s="10"/>
      <c r="U2" s="9" t="s">
        <v>154</v>
      </c>
      <c r="V2" s="282">
        <f>'Culling rate'!G5</f>
        <v>1</v>
      </c>
      <c r="W2" s="282">
        <f>IF(Input!$F$12-Input!F13&gt;=F1,'Culling rate'!G6,IF(Input!$F$12-Input!F13&lt;E1,0,(Input!$F$12-Input!F13-E1)/30))</f>
        <v>1</v>
      </c>
      <c r="X2" s="282">
        <f>IF(Input!$F$12-Input!F13&gt;=G1,'Culling rate'!$G7,IF(Input!$F$12-Input!F13&lt;F1,0,(Input!$F$12-Input!F13-F1)/30))</f>
        <v>1</v>
      </c>
      <c r="Y2" s="282">
        <f>IF(Input!$F$12-Input!F13&gt;=H1,'Culling rate'!$G8,IF(Input!$F$12-Input!F13&lt;G1,0,(Input!$F$12-Input!F13-G1)/30))</f>
        <v>1</v>
      </c>
      <c r="Z2" s="282">
        <f>IF(Input!$F$12-Input!F13&gt;=I1,'Culling rate'!$G9,IF(Input!$F$12-Input!F13&lt;H1,0,(Input!$F$12-Input!F13-H1)/30))</f>
        <v>1</v>
      </c>
      <c r="AA2" s="282">
        <f>IF(Input!$F$12-Input!F13&gt;=J1,'Culling rate'!$G10,IF(Input!$F$12-Input!F13&lt;I1,0,(Input!$F$12-Input!F13-I1)/30))</f>
        <v>1</v>
      </c>
      <c r="AB2" s="282">
        <f>IF(Input!$F$12-Input!F13&gt;=K1,'Culling rate'!$G11,IF(Input!$F$12-Input!F13&lt;J1,0,(Input!$F$12-Input!F13-J1)/30))</f>
        <v>1</v>
      </c>
      <c r="AC2" s="282">
        <f>IF(Input!$F$12-Input!F13&gt;=L1,'Culling rate'!$G12,IF(Input!$F$12-Input!F13&lt;K1,0,(Input!$F$12-Input!F13-K1)/30))</f>
        <v>1</v>
      </c>
      <c r="AD2" s="282">
        <f>IF(Input!$F$12-Input!F13&gt;=M1,'Culling rate'!$G13,IF(Input!$F$12-Input!F13&lt;L1,0,(Input!$F$12-Input!F13-L1)/30))</f>
        <v>1</v>
      </c>
      <c r="AE2" s="282">
        <f>IF(Input!$F$12-Input!F13&gt;=N1,'Culling rate'!$G14,IF(Input!$F$12-Input!F13&lt;M1,0,(Input!$F$12-Input!F13-M1)/30))</f>
        <v>1</v>
      </c>
      <c r="AF2" s="282">
        <f>IF(Input!$F$12-Input!F13&gt;=O1,'Culling rate'!$G15,IF(Input!$F$12-Input!F13&lt;N1,0,(Input!$F$12-Input!F13-N1)/30))</f>
        <v>0</v>
      </c>
      <c r="AG2" s="282">
        <f>IF(Input!$F$12-Input!F13&gt;=P1,'Culling rate'!$G16,IF(Input!$F$12-Input!F13&lt;O1,0,(Input!$F$12-Input!F13-O1)/30))</f>
        <v>0</v>
      </c>
      <c r="AH2" s="282">
        <f>IF(Input!$F$12-Input!F13&gt;=Q1,'Culling rate'!$G17,IF(Input!$F$12-Input!F13&lt;P1,0,(Input!$F$12-Input!F13-P1)/30))</f>
        <v>0</v>
      </c>
      <c r="AI2" s="282">
        <f>IF(Input!$F$12-Input!F13&gt;=R1,'Culling rate'!$G18,IF(Input!$F$12-Input!F13&lt;Q1,0,(Input!$F$12-Input!F13-Q1)/30))</f>
        <v>0</v>
      </c>
      <c r="AJ2" s="10"/>
      <c r="AM2" s="6" t="s">
        <v>33</v>
      </c>
      <c r="AN2" s="7">
        <f>IF(Input!$F$14='Hidden calculation original'!AN4,1,0)</f>
        <v>1</v>
      </c>
      <c r="AO2" s="7">
        <f>IF(Input!$F$14='Hidden calculation original'!AO4,1,0)</f>
        <v>0</v>
      </c>
      <c r="AP2" s="7">
        <f>IF(Input!$F$14='Hidden calculation original'!AP4,1,0)</f>
        <v>0</v>
      </c>
      <c r="AQ2" s="7">
        <f>IF(Input!$F$14='Hidden calculation original'!AQ4,1,0)</f>
        <v>0</v>
      </c>
      <c r="AR2" s="7">
        <f>IF(Input!$F$14='Hidden calculation original'!AR4,1,0)</f>
        <v>0</v>
      </c>
      <c r="AS2" s="7">
        <f>IF(Input!$F$14='Hidden calculation original'!AS4,1,0)</f>
        <v>0</v>
      </c>
      <c r="AT2" s="7">
        <f>IF(Input!$F$14='Hidden calculation original'!AT4,1,0)</f>
        <v>0</v>
      </c>
      <c r="AU2" s="7">
        <f>IF(Input!$F$14='Hidden calculation original'!AU4,1,0)</f>
        <v>0</v>
      </c>
      <c r="AV2" s="7"/>
      <c r="AW2" s="7"/>
      <c r="AX2" s="7"/>
      <c r="AY2" s="8"/>
    </row>
    <row r="3" spans="1:53" ht="13" x14ac:dyDescent="0.3">
      <c r="A3" s="9" t="s">
        <v>35</v>
      </c>
      <c r="B3" s="11">
        <f>Input!F18</f>
        <v>7692.3076923076924</v>
      </c>
      <c r="D3" s="51" t="s">
        <v>4</v>
      </c>
      <c r="E3" s="52" t="s">
        <v>2</v>
      </c>
      <c r="S3" s="10"/>
      <c r="U3" s="54" t="s">
        <v>5</v>
      </c>
      <c r="V3" s="52" t="s">
        <v>2</v>
      </c>
      <c r="AJ3" s="10"/>
      <c r="AM3" s="9"/>
      <c r="AN3">
        <v>1</v>
      </c>
      <c r="AO3">
        <v>2</v>
      </c>
      <c r="AP3">
        <v>3</v>
      </c>
      <c r="AQ3">
        <v>4</v>
      </c>
      <c r="AR3">
        <v>5</v>
      </c>
      <c r="AS3">
        <v>6</v>
      </c>
      <c r="AT3">
        <v>7</v>
      </c>
      <c r="AU3">
        <v>8</v>
      </c>
      <c r="AY3" s="10"/>
    </row>
    <row r="4" spans="1:53" ht="50" x14ac:dyDescent="0.25">
      <c r="A4" s="250" t="s">
        <v>110</v>
      </c>
      <c r="B4" s="11">
        <f>Input!F15*100</f>
        <v>85</v>
      </c>
      <c r="D4" s="50" t="s">
        <v>31</v>
      </c>
      <c r="E4" s="53">
        <v>1</v>
      </c>
      <c r="F4" s="53">
        <v>2</v>
      </c>
      <c r="G4" s="53">
        <v>3</v>
      </c>
      <c r="H4" s="53">
        <v>4</v>
      </c>
      <c r="I4" s="53">
        <v>5</v>
      </c>
      <c r="J4" s="53">
        <v>6</v>
      </c>
      <c r="K4" s="53">
        <v>7</v>
      </c>
      <c r="L4" s="53">
        <v>8</v>
      </c>
      <c r="M4" s="53">
        <v>9</v>
      </c>
      <c r="N4" s="53">
        <v>10</v>
      </c>
      <c r="O4" s="53">
        <v>11</v>
      </c>
      <c r="P4" s="53">
        <v>12</v>
      </c>
      <c r="Q4" s="53">
        <v>13</v>
      </c>
      <c r="R4" s="53">
        <v>14</v>
      </c>
      <c r="S4" s="25" t="s">
        <v>86</v>
      </c>
      <c r="U4" s="50" t="s">
        <v>31</v>
      </c>
      <c r="V4" s="37">
        <v>1</v>
      </c>
      <c r="W4" s="37">
        <v>2</v>
      </c>
      <c r="X4" s="37">
        <v>3</v>
      </c>
      <c r="Y4" s="37">
        <v>4</v>
      </c>
      <c r="Z4" s="37">
        <v>5</v>
      </c>
      <c r="AA4" s="37">
        <v>6</v>
      </c>
      <c r="AB4" s="37">
        <v>7</v>
      </c>
      <c r="AC4" s="37">
        <v>8</v>
      </c>
      <c r="AD4" s="37">
        <v>9</v>
      </c>
      <c r="AE4" s="37">
        <v>10</v>
      </c>
      <c r="AF4" s="37">
        <v>11</v>
      </c>
      <c r="AG4" s="37">
        <v>12</v>
      </c>
      <c r="AH4" s="37">
        <v>13</v>
      </c>
      <c r="AI4" s="37">
        <v>14</v>
      </c>
      <c r="AJ4" s="25" t="s">
        <v>87</v>
      </c>
      <c r="AM4" s="50" t="s">
        <v>31</v>
      </c>
      <c r="AN4" s="23" t="s">
        <v>19</v>
      </c>
      <c r="AO4" s="23" t="s">
        <v>6</v>
      </c>
      <c r="AP4" s="23" t="s">
        <v>7</v>
      </c>
      <c r="AQ4" s="23" t="s">
        <v>15</v>
      </c>
      <c r="AR4" s="23" t="s">
        <v>13</v>
      </c>
      <c r="AS4" s="23" t="s">
        <v>11</v>
      </c>
      <c r="AT4" s="23" t="s">
        <v>134</v>
      </c>
      <c r="AU4" s="23" t="s">
        <v>135</v>
      </c>
      <c r="AV4" s="23" t="s">
        <v>32</v>
      </c>
      <c r="AW4" s="23" t="s">
        <v>51</v>
      </c>
      <c r="AX4" s="23" t="s">
        <v>44</v>
      </c>
      <c r="AY4" s="25" t="s">
        <v>45</v>
      </c>
    </row>
    <row r="5" spans="1:53" x14ac:dyDescent="0.25">
      <c r="A5" s="9" t="s">
        <v>36</v>
      </c>
      <c r="B5" s="11">
        <f>'Calving input'!D17</f>
        <v>120</v>
      </c>
      <c r="D5" s="26">
        <v>1</v>
      </c>
      <c r="E5">
        <f>'Calving input'!C$16/2+'Calving input'!C$18/2</f>
        <v>3</v>
      </c>
      <c r="F5">
        <f>'Calving input'!C$15/2+'Calving input'!C$16/2</f>
        <v>3</v>
      </c>
      <c r="G5">
        <f>'Calving input'!C$14/2+'Calving input'!C$15/2</f>
        <v>3</v>
      </c>
      <c r="H5">
        <f>'Calving input'!C$13/2+'Calving input'!C$14/2</f>
        <v>3</v>
      </c>
      <c r="I5">
        <f>'Calving input'!C$12/2+'Calving input'!C$13/2</f>
        <v>3</v>
      </c>
      <c r="J5">
        <f>'Calving input'!C$11/2+'Calving input'!C$12/2</f>
        <v>3</v>
      </c>
      <c r="K5">
        <f>'Calving input'!C$10/2+'Calving input'!C$11/2</f>
        <v>3</v>
      </c>
      <c r="L5">
        <f>'Calving input'!C$9/2+'Calving input'!C$10/2</f>
        <v>3</v>
      </c>
      <c r="M5">
        <f>'Calving input'!C$8/2+'Calving input'!C$9/2</f>
        <v>3</v>
      </c>
      <c r="N5">
        <f>'Calving input'!C$7/2+'Calving input'!C$8/2</f>
        <v>3</v>
      </c>
      <c r="O5">
        <f>'Calving input'!C$6/2+'Calving input'!C$7/2</f>
        <v>3</v>
      </c>
      <c r="P5">
        <f>'Calving input'!C$5/2+'Calving input'!C$6/2</f>
        <v>3</v>
      </c>
      <c r="Q5">
        <f>'Calving input'!C$16/2+'Calving input'!C$5/2</f>
        <v>3</v>
      </c>
      <c r="R5">
        <f>'Calving input'!C$15/2+'Calving input'!C$16/2</f>
        <v>3</v>
      </c>
      <c r="S5" s="10">
        <f>ROUND(SUMPRODUCT(E5:R5,$E$2:$R$2),0)</f>
        <v>30</v>
      </c>
      <c r="U5" s="26">
        <v>1</v>
      </c>
      <c r="V5">
        <f>'Calving input'!D$16/2+'Calving input'!D$18/2</f>
        <v>10</v>
      </c>
      <c r="W5">
        <f>'Calving input'!D$15/2+'Calving input'!D$16/2</f>
        <v>10</v>
      </c>
      <c r="X5">
        <f>'Calving input'!D$14/2+'Calving input'!D$15/2</f>
        <v>10</v>
      </c>
      <c r="Y5">
        <f>'Calving input'!D$13/2+'Calving input'!D$14/2</f>
        <v>10</v>
      </c>
      <c r="Z5">
        <f>'Calving input'!D$12/2+'Calving input'!D$13/2</f>
        <v>10</v>
      </c>
      <c r="AA5">
        <f>'Calving input'!D$11/2+'Calving input'!D$12/2</f>
        <v>10</v>
      </c>
      <c r="AB5">
        <f>'Calving input'!D$10/2+'Calving input'!D$11/2</f>
        <v>10</v>
      </c>
      <c r="AC5">
        <f>'Calving input'!D$9/2+'Calving input'!D$10/2</f>
        <v>10</v>
      </c>
      <c r="AD5">
        <f>'Calving input'!D$8/2+'Calving input'!D$9/2</f>
        <v>10</v>
      </c>
      <c r="AE5">
        <f>'Calving input'!D$7/2+'Calving input'!D$8/2</f>
        <v>10</v>
      </c>
      <c r="AF5">
        <f>'Calving input'!D$6/2+'Calving input'!D$7/2</f>
        <v>10</v>
      </c>
      <c r="AG5">
        <f>'Calving input'!D$5/2+'Calving input'!D$6/2</f>
        <v>10</v>
      </c>
      <c r="AH5">
        <f>'Calving input'!D$16/2+'Calving input'!D$5/2</f>
        <v>10</v>
      </c>
      <c r="AI5">
        <f>'Calving input'!D$15/2+'Calving input'!D$16/2</f>
        <v>10</v>
      </c>
      <c r="AJ5" s="10">
        <f>ROUND(SUMPRODUCT(V5:AI5,$V$2:$AI$2),0)</f>
        <v>100</v>
      </c>
      <c r="AL5" s="22">
        <f>Input!F9</f>
        <v>45412</v>
      </c>
      <c r="AM5" s="26">
        <v>1</v>
      </c>
      <c r="AN5" s="11">
        <f>(SUMPRODUCT($E$43:$R$43,$E$2:$R$2,$E5:$R5)*$AY5+SUMPRODUCT($E$44:$R$44,$V$2:$AI$2,$V5:$AI5)*$AX5)/365</f>
        <v>2739.7260273972611</v>
      </c>
      <c r="AO5" s="11">
        <f>(SUMPRODUCT($E$45:$R$45,$E$2:$R$2,$E5:$R5)*$AY5+SUMPRODUCT($E$46:$R$46,$V$2:$AI$2,$V5:$AI5)*$AX5)/365</f>
        <v>2739.7260273972602</v>
      </c>
      <c r="AP5" s="11">
        <f>(SUMPRODUCT($E$47:$R$47,$E$2:$R$2,$E5:$R5)*$AY5+SUMPRODUCT($E$48:$R$48,$V$2:$AI$2,$V5:$AI5)*$AX5)/365</f>
        <v>2739.7260273972606</v>
      </c>
      <c r="AQ5" s="11">
        <f>(SUMPRODUCT($E$49:$R$49,$E$2:$R$2,$E5:$R5)*$AY5+SUMPRODUCT($E$50:$R$50,$V$2:$AI$2,$V5:$AI5)*$AX5)/365</f>
        <v>2739.7260273972606</v>
      </c>
      <c r="AR5" s="11">
        <f>(SUMPRODUCT($E$51:$R$51,$E$2:$R$2,$E5:$R5)*$AY5+SUMPRODUCT($E$52:$R$52,$V$2:$AI$2,$V5:$AI5)*$AX5)/365</f>
        <v>2739.7260273972606</v>
      </c>
      <c r="AS5" s="11">
        <f>(SUMPRODUCT($E$53:$R$53,$E$2:$R$2,$E5:$R5)*$AY5+SUMPRODUCT($E$54:$R$54,$V$2:$AI$2,$V5:$AI5)*$AX5)/365</f>
        <v>2739.7260273972602</v>
      </c>
      <c r="AT5" s="11">
        <f>(SUMPRODUCT($E$55:$R$55,$E$2:$R$2,$E5:$R5)*$AY5+SUMPRODUCT($E$56:$R$56,$V$2:$AI$2,$V5:$AI5)*$AX5)/365</f>
        <v>2739.6703596572615</v>
      </c>
      <c r="AU5" s="11">
        <f>(SUMPRODUCT($E$57:$R$57,$E$2:$R$2,$E5:$R5)*$AY5+SUMPRODUCT($E$58:$R$58,$V$2:$AI$2,$V5:$AI5)*$AX5)/365</f>
        <v>2739.7260273972597</v>
      </c>
      <c r="AV5" s="11">
        <f>SUMPRODUCT(AN5:AU5,$AN$2:$AU$2)</f>
        <v>2739.7260273972611</v>
      </c>
      <c r="AW5" s="15">
        <f>AV5*DAY(AL5)</f>
        <v>82191.780821917826</v>
      </c>
      <c r="AX5" s="256">
        <f>$B$11*(1+$B$17*6.62)</f>
        <v>7968.1274900398412</v>
      </c>
      <c r="AY5" s="257">
        <f>$B$12*(1+$B$17*6.62)</f>
        <v>6772.9083665338649</v>
      </c>
      <c r="AZ5" s="15">
        <f>1000000/365*30</f>
        <v>82191.780821917811</v>
      </c>
    </row>
    <row r="6" spans="1:53" x14ac:dyDescent="0.25">
      <c r="A6" s="9" t="s">
        <v>37</v>
      </c>
      <c r="B6" s="11">
        <f>'Calving input'!C17</f>
        <v>36</v>
      </c>
      <c r="D6" s="26">
        <v>2</v>
      </c>
      <c r="E6">
        <f>'Calving input'!C18/2+'Calving input'!C19/2</f>
        <v>3</v>
      </c>
      <c r="F6" s="24">
        <f t="shared" ref="F6:F22" si="0">E5</f>
        <v>3</v>
      </c>
      <c r="G6" s="24">
        <f t="shared" ref="G6:R21" si="1">F5</f>
        <v>3</v>
      </c>
      <c r="H6" s="24">
        <f t="shared" si="1"/>
        <v>3</v>
      </c>
      <c r="I6" s="24">
        <f t="shared" si="1"/>
        <v>3</v>
      </c>
      <c r="J6" s="24">
        <f t="shared" si="1"/>
        <v>3</v>
      </c>
      <c r="K6" s="24">
        <f t="shared" si="1"/>
        <v>3</v>
      </c>
      <c r="L6" s="24">
        <f t="shared" si="1"/>
        <v>3</v>
      </c>
      <c r="M6" s="24">
        <f t="shared" si="1"/>
        <v>3</v>
      </c>
      <c r="N6" s="24">
        <f t="shared" si="1"/>
        <v>3</v>
      </c>
      <c r="O6" s="24">
        <f t="shared" si="1"/>
        <v>3</v>
      </c>
      <c r="P6" s="24">
        <f t="shared" si="1"/>
        <v>3</v>
      </c>
      <c r="Q6" s="24">
        <f t="shared" si="1"/>
        <v>3</v>
      </c>
      <c r="R6" s="24">
        <f t="shared" si="1"/>
        <v>3</v>
      </c>
      <c r="S6" s="10">
        <f t="shared" ref="S6:S40" si="2">ROUND(SUMPRODUCT(E6:R6,$E$2:$R$2),0)</f>
        <v>30</v>
      </c>
      <c r="U6" s="26">
        <v>2</v>
      </c>
      <c r="V6">
        <f>'Calving input'!D18/2+'Calving input'!D19/2</f>
        <v>10</v>
      </c>
      <c r="W6" s="24">
        <f t="shared" ref="W6:W22" si="3">V5</f>
        <v>10</v>
      </c>
      <c r="X6" s="24">
        <f t="shared" ref="X6:AI21" si="4">W5</f>
        <v>10</v>
      </c>
      <c r="Y6" s="24">
        <f t="shared" si="4"/>
        <v>10</v>
      </c>
      <c r="Z6" s="24">
        <f t="shared" si="4"/>
        <v>10</v>
      </c>
      <c r="AA6" s="24">
        <f t="shared" si="4"/>
        <v>10</v>
      </c>
      <c r="AB6" s="24">
        <f t="shared" si="4"/>
        <v>10</v>
      </c>
      <c r="AC6" s="24">
        <f t="shared" si="4"/>
        <v>10</v>
      </c>
      <c r="AD6" s="24">
        <f t="shared" si="4"/>
        <v>10</v>
      </c>
      <c r="AE6" s="24">
        <f t="shared" si="4"/>
        <v>10</v>
      </c>
      <c r="AF6" s="24">
        <f t="shared" si="4"/>
        <v>10</v>
      </c>
      <c r="AG6" s="24">
        <f t="shared" si="4"/>
        <v>10</v>
      </c>
      <c r="AH6" s="24">
        <f t="shared" si="4"/>
        <v>10</v>
      </c>
      <c r="AI6" s="24">
        <f t="shared" si="4"/>
        <v>10</v>
      </c>
      <c r="AJ6" s="10">
        <f t="shared" ref="AJ6:AJ40" si="5">ROUND(SUMPRODUCT(V6:AI6,$V$2:$AI$2),0)</f>
        <v>100</v>
      </c>
      <c r="AL6" s="22">
        <f>EOMONTH(AL5,1)</f>
        <v>45443</v>
      </c>
      <c r="AM6" s="26">
        <v>2</v>
      </c>
      <c r="AN6" s="11">
        <f t="shared" ref="AN6:AN40" si="6">(SUMPRODUCT($E$43:$R$43,$E$2:$R$2,$E6:$R6)*$AY6+SUMPRODUCT($E$44:$R$44,$V$2:$AI$2,$V6:$AI6)*$AX6)/365</f>
        <v>2739.7260273972611</v>
      </c>
      <c r="AO6" s="11">
        <f t="shared" ref="AO6:AO40" si="7">(SUMPRODUCT($E$45:$R$45,$E$2:$R$2,$E6:$R6)*$AY6+SUMPRODUCT($E$46:$R$46,$V$2:$AI$2,$V6:$AI6)*$AX6)/365</f>
        <v>2739.7260273972602</v>
      </c>
      <c r="AP6" s="11">
        <f t="shared" ref="AP6:AP40" si="8">(SUMPRODUCT($E$47:$R$47,$E$2:$R$2,$E6:$R6)*$AY6+SUMPRODUCT($E$48:$R$48,$V$2:$AI$2,$V6:$AI6)*$AX6)/365</f>
        <v>2739.7260273972606</v>
      </c>
      <c r="AQ6" s="11">
        <f t="shared" ref="AQ6:AQ40" si="9">(SUMPRODUCT($E$49:$R$49,$E$2:$R$2,$E6:$R6)*$AY6+SUMPRODUCT($E$50:$R$50,$V$2:$AI$2,$V6:$AI6)*$AX6)/365</f>
        <v>2739.7260273972606</v>
      </c>
      <c r="AR6" s="11">
        <f t="shared" ref="AR6:AR40" si="10">(SUMPRODUCT($E$51:$R$51,$E$2:$R$2,$E6:$R6)*$AY6+SUMPRODUCT($E$52:$R$52,$V$2:$AI$2,$V6:$AI6)*$AX6)/365</f>
        <v>2739.7260273972606</v>
      </c>
      <c r="AS6" s="11">
        <f t="shared" ref="AS6:AS40" si="11">(SUMPRODUCT($E$53:$R$53,$E$2:$R$2,$E6:$R6)*$AY6+SUMPRODUCT($E$54:$R$54,$V$2:$AI$2,$V6:$AI6)*$AX6)/365</f>
        <v>2739.7260273972602</v>
      </c>
      <c r="AT6" s="11">
        <f t="shared" ref="AT6:AT40" si="12">(SUMPRODUCT($E$55:$R$55,$E$2:$R$2,$E6:$R6)*$AY6+SUMPRODUCT($E$56:$R$56,$V$2:$AI$2,$V6:$AI6)*$AX6)/365</f>
        <v>2739.6703596572615</v>
      </c>
      <c r="AU6" s="11">
        <f t="shared" ref="AU6:AU40" si="13">(SUMPRODUCT($E$57:$R$57,$E$2:$R$2,$E6:$R6)*$AY6+SUMPRODUCT($E$58:$R$58,$V$2:$AI$2,$V6:$AI6)*$AX6)/365</f>
        <v>2739.7260273972597</v>
      </c>
      <c r="AV6" s="11">
        <f t="shared" ref="AV6:AV40" si="14">SUMPRODUCT(AN6:AU6,$AN$2:$AU$2)</f>
        <v>2739.7260273972611</v>
      </c>
      <c r="AW6" s="15">
        <f t="shared" ref="AW6:AW40" si="15">AV6*DAY(AL6)</f>
        <v>84931.50684931509</v>
      </c>
      <c r="AX6" s="258">
        <f>AX5*(1+$B$17)</f>
        <v>7968.1274900398412</v>
      </c>
      <c r="AY6" s="259">
        <f>AY5*(1+$B$17)</f>
        <v>6772.9083665338649</v>
      </c>
      <c r="AZ6" s="15">
        <f>1000000/365*31</f>
        <v>84931.506849315061</v>
      </c>
    </row>
    <row r="7" spans="1:53" x14ac:dyDescent="0.25">
      <c r="A7" s="9" t="s">
        <v>38</v>
      </c>
      <c r="B7" s="11">
        <f>B6*B4/100</f>
        <v>30.6</v>
      </c>
      <c r="D7" s="26">
        <v>3</v>
      </c>
      <c r="E7">
        <f>'Calving input'!C19/2+'Calving input'!C20/2</f>
        <v>3</v>
      </c>
      <c r="F7" s="24">
        <f t="shared" si="0"/>
        <v>3</v>
      </c>
      <c r="G7" s="24">
        <f t="shared" si="1"/>
        <v>3</v>
      </c>
      <c r="H7" s="24">
        <f t="shared" si="1"/>
        <v>3</v>
      </c>
      <c r="I7" s="24">
        <f t="shared" si="1"/>
        <v>3</v>
      </c>
      <c r="J7" s="24">
        <f t="shared" si="1"/>
        <v>3</v>
      </c>
      <c r="K7" s="24">
        <f t="shared" si="1"/>
        <v>3</v>
      </c>
      <c r="L7" s="24">
        <f t="shared" si="1"/>
        <v>3</v>
      </c>
      <c r="M7" s="24">
        <f t="shared" si="1"/>
        <v>3</v>
      </c>
      <c r="N7" s="24">
        <f t="shared" si="1"/>
        <v>3</v>
      </c>
      <c r="O7" s="24">
        <f t="shared" si="1"/>
        <v>3</v>
      </c>
      <c r="P7" s="24">
        <f t="shared" si="1"/>
        <v>3</v>
      </c>
      <c r="Q7" s="24">
        <f t="shared" si="1"/>
        <v>3</v>
      </c>
      <c r="R7" s="24">
        <f t="shared" si="1"/>
        <v>3</v>
      </c>
      <c r="S7" s="10">
        <f t="shared" si="2"/>
        <v>30</v>
      </c>
      <c r="U7" s="26">
        <v>3</v>
      </c>
      <c r="V7">
        <f>'Calving input'!D19/2+'Calving input'!D20/2</f>
        <v>10</v>
      </c>
      <c r="W7" s="24">
        <f t="shared" si="3"/>
        <v>10</v>
      </c>
      <c r="X7" s="24">
        <f t="shared" si="4"/>
        <v>10</v>
      </c>
      <c r="Y7" s="24">
        <f t="shared" si="4"/>
        <v>10</v>
      </c>
      <c r="Z7" s="24">
        <f t="shared" si="4"/>
        <v>10</v>
      </c>
      <c r="AA7" s="24">
        <f t="shared" si="4"/>
        <v>10</v>
      </c>
      <c r="AB7" s="24">
        <f t="shared" si="4"/>
        <v>10</v>
      </c>
      <c r="AC7" s="24">
        <f t="shared" si="4"/>
        <v>10</v>
      </c>
      <c r="AD7" s="24">
        <f t="shared" si="4"/>
        <v>10</v>
      </c>
      <c r="AE7" s="24">
        <f t="shared" si="4"/>
        <v>10</v>
      </c>
      <c r="AF7" s="24">
        <f t="shared" si="4"/>
        <v>10</v>
      </c>
      <c r="AG7" s="24">
        <f t="shared" si="4"/>
        <v>10</v>
      </c>
      <c r="AH7" s="24">
        <f t="shared" si="4"/>
        <v>10</v>
      </c>
      <c r="AI7" s="24">
        <f t="shared" si="4"/>
        <v>10</v>
      </c>
      <c r="AJ7" s="10">
        <f t="shared" si="5"/>
        <v>100</v>
      </c>
      <c r="AL7" s="22">
        <f t="shared" ref="AL7:AL40" si="16">EOMONTH(AL6,1)</f>
        <v>45473</v>
      </c>
      <c r="AM7" s="26">
        <v>3</v>
      </c>
      <c r="AN7" s="11">
        <f t="shared" si="6"/>
        <v>2739.7260273972611</v>
      </c>
      <c r="AO7" s="11">
        <f t="shared" si="7"/>
        <v>2739.7260273972602</v>
      </c>
      <c r="AP7" s="11">
        <f t="shared" si="8"/>
        <v>2739.7260273972606</v>
      </c>
      <c r="AQ7" s="11">
        <f t="shared" si="9"/>
        <v>2739.7260273972606</v>
      </c>
      <c r="AR7" s="11">
        <f t="shared" si="10"/>
        <v>2739.7260273972606</v>
      </c>
      <c r="AS7" s="11">
        <f t="shared" si="11"/>
        <v>2739.7260273972602</v>
      </c>
      <c r="AT7" s="11">
        <f t="shared" si="12"/>
        <v>2739.6703596572615</v>
      </c>
      <c r="AU7" s="11">
        <f t="shared" si="13"/>
        <v>2739.7260273972597</v>
      </c>
      <c r="AV7" s="11">
        <f t="shared" si="14"/>
        <v>2739.7260273972611</v>
      </c>
      <c r="AW7" s="15">
        <f t="shared" si="15"/>
        <v>82191.780821917826</v>
      </c>
      <c r="AX7" s="15">
        <f t="shared" ref="AX7:AX40" si="17">AX6*(1+$B$17)</f>
        <v>7968.1274900398412</v>
      </c>
      <c r="AY7" s="44">
        <f t="shared" ref="AY7:AY40" si="18">AY6*(1+$B$17)</f>
        <v>6772.9083665338649</v>
      </c>
      <c r="AZ7" s="15">
        <f t="shared" ref="AZ7" si="19">1000000/365*30</f>
        <v>82191.780821917811</v>
      </c>
    </row>
    <row r="8" spans="1:53" x14ac:dyDescent="0.25">
      <c r="A8" s="9" t="s">
        <v>39</v>
      </c>
      <c r="B8" s="11"/>
      <c r="D8" s="26">
        <v>4</v>
      </c>
      <c r="E8">
        <f>'Calving input'!C20/2+'Calving input'!C21/2</f>
        <v>3</v>
      </c>
      <c r="F8" s="24">
        <f t="shared" si="0"/>
        <v>3</v>
      </c>
      <c r="G8" s="24">
        <f t="shared" si="1"/>
        <v>3</v>
      </c>
      <c r="H8" s="24">
        <f t="shared" si="1"/>
        <v>3</v>
      </c>
      <c r="I8" s="24">
        <f t="shared" si="1"/>
        <v>3</v>
      </c>
      <c r="J8" s="24">
        <f t="shared" si="1"/>
        <v>3</v>
      </c>
      <c r="K8" s="24">
        <f t="shared" si="1"/>
        <v>3</v>
      </c>
      <c r="L8" s="24">
        <f t="shared" si="1"/>
        <v>3</v>
      </c>
      <c r="M8" s="24">
        <f t="shared" si="1"/>
        <v>3</v>
      </c>
      <c r="N8" s="24">
        <f t="shared" si="1"/>
        <v>3</v>
      </c>
      <c r="O8" s="24">
        <f t="shared" si="1"/>
        <v>3</v>
      </c>
      <c r="P8" s="24">
        <f t="shared" si="1"/>
        <v>3</v>
      </c>
      <c r="Q8" s="24">
        <f t="shared" si="1"/>
        <v>3</v>
      </c>
      <c r="R8" s="24">
        <f t="shared" si="1"/>
        <v>3</v>
      </c>
      <c r="S8" s="10">
        <f t="shared" si="2"/>
        <v>30</v>
      </c>
      <c r="U8" s="26">
        <v>4</v>
      </c>
      <c r="V8">
        <f>'Calving input'!D20/2+'Calving input'!D21/2</f>
        <v>10</v>
      </c>
      <c r="W8" s="24">
        <f t="shared" si="3"/>
        <v>10</v>
      </c>
      <c r="X8" s="24">
        <f t="shared" si="4"/>
        <v>10</v>
      </c>
      <c r="Y8" s="24">
        <f t="shared" si="4"/>
        <v>10</v>
      </c>
      <c r="Z8" s="24">
        <f t="shared" si="4"/>
        <v>10</v>
      </c>
      <c r="AA8" s="24">
        <f t="shared" si="4"/>
        <v>10</v>
      </c>
      <c r="AB8" s="24">
        <f t="shared" si="4"/>
        <v>10</v>
      </c>
      <c r="AC8" s="24">
        <f t="shared" si="4"/>
        <v>10</v>
      </c>
      <c r="AD8" s="24">
        <f t="shared" si="4"/>
        <v>10</v>
      </c>
      <c r="AE8" s="24">
        <f t="shared" si="4"/>
        <v>10</v>
      </c>
      <c r="AF8" s="24">
        <f t="shared" si="4"/>
        <v>10</v>
      </c>
      <c r="AG8" s="24">
        <f t="shared" si="4"/>
        <v>10</v>
      </c>
      <c r="AH8" s="24">
        <f t="shared" si="4"/>
        <v>10</v>
      </c>
      <c r="AI8" s="24">
        <f t="shared" si="4"/>
        <v>10</v>
      </c>
      <c r="AJ8" s="10">
        <f t="shared" si="5"/>
        <v>100</v>
      </c>
      <c r="AL8" s="22">
        <f t="shared" si="16"/>
        <v>45504</v>
      </c>
      <c r="AM8" s="26">
        <v>4</v>
      </c>
      <c r="AN8" s="11">
        <f t="shared" si="6"/>
        <v>2739.7260273972611</v>
      </c>
      <c r="AO8" s="11">
        <f t="shared" si="7"/>
        <v>2739.7260273972602</v>
      </c>
      <c r="AP8" s="11">
        <f t="shared" si="8"/>
        <v>2739.7260273972606</v>
      </c>
      <c r="AQ8" s="11">
        <f t="shared" si="9"/>
        <v>2739.7260273972606</v>
      </c>
      <c r="AR8" s="11">
        <f t="shared" si="10"/>
        <v>2739.7260273972606</v>
      </c>
      <c r="AS8" s="11">
        <f t="shared" si="11"/>
        <v>2739.7260273972602</v>
      </c>
      <c r="AT8" s="11">
        <f t="shared" si="12"/>
        <v>2739.6703596572615</v>
      </c>
      <c r="AU8" s="11">
        <f t="shared" si="13"/>
        <v>2739.7260273972597</v>
      </c>
      <c r="AV8" s="11">
        <f t="shared" si="14"/>
        <v>2739.7260273972611</v>
      </c>
      <c r="AW8" s="15">
        <f t="shared" si="15"/>
        <v>84931.50684931509</v>
      </c>
      <c r="AX8" s="15">
        <f t="shared" si="17"/>
        <v>7968.1274900398412</v>
      </c>
      <c r="AY8" s="44">
        <f t="shared" si="18"/>
        <v>6772.9083665338649</v>
      </c>
      <c r="AZ8" s="15">
        <f>1000000/365*31</f>
        <v>84931.506849315061</v>
      </c>
    </row>
    <row r="9" spans="1:53" x14ac:dyDescent="0.25">
      <c r="A9" s="9" t="s">
        <v>40</v>
      </c>
      <c r="B9" s="11">
        <f>B7+B5</f>
        <v>150.6</v>
      </c>
      <c r="D9" s="26">
        <v>5</v>
      </c>
      <c r="E9">
        <f>'Calving input'!C21/2+'Calving input'!C22/2</f>
        <v>3</v>
      </c>
      <c r="F9" s="24">
        <f t="shared" si="0"/>
        <v>3</v>
      </c>
      <c r="G9" s="24">
        <f t="shared" si="1"/>
        <v>3</v>
      </c>
      <c r="H9" s="24">
        <f t="shared" si="1"/>
        <v>3</v>
      </c>
      <c r="I9" s="24">
        <f t="shared" si="1"/>
        <v>3</v>
      </c>
      <c r="J9" s="24">
        <f t="shared" si="1"/>
        <v>3</v>
      </c>
      <c r="K9" s="24">
        <f t="shared" si="1"/>
        <v>3</v>
      </c>
      <c r="L9" s="24">
        <f t="shared" si="1"/>
        <v>3</v>
      </c>
      <c r="M9" s="24">
        <f t="shared" si="1"/>
        <v>3</v>
      </c>
      <c r="N9" s="24">
        <f t="shared" si="1"/>
        <v>3</v>
      </c>
      <c r="O9" s="24">
        <f t="shared" si="1"/>
        <v>3</v>
      </c>
      <c r="P9" s="24">
        <f t="shared" si="1"/>
        <v>3</v>
      </c>
      <c r="Q9" s="24">
        <f t="shared" si="1"/>
        <v>3</v>
      </c>
      <c r="R9" s="24">
        <f t="shared" si="1"/>
        <v>3</v>
      </c>
      <c r="S9" s="10">
        <f t="shared" si="2"/>
        <v>30</v>
      </c>
      <c r="U9" s="26">
        <v>5</v>
      </c>
      <c r="V9">
        <f>'Calving input'!D21/2+'Calving input'!D22/2</f>
        <v>10</v>
      </c>
      <c r="W9" s="24">
        <f t="shared" si="3"/>
        <v>10</v>
      </c>
      <c r="X9" s="24">
        <f t="shared" si="4"/>
        <v>10</v>
      </c>
      <c r="Y9" s="24">
        <f t="shared" si="4"/>
        <v>10</v>
      </c>
      <c r="Z9" s="24">
        <f t="shared" si="4"/>
        <v>10</v>
      </c>
      <c r="AA9" s="24">
        <f t="shared" si="4"/>
        <v>10</v>
      </c>
      <c r="AB9" s="24">
        <f t="shared" si="4"/>
        <v>10</v>
      </c>
      <c r="AC9" s="24">
        <f t="shared" si="4"/>
        <v>10</v>
      </c>
      <c r="AD9" s="24">
        <f t="shared" si="4"/>
        <v>10</v>
      </c>
      <c r="AE9" s="24">
        <f t="shared" si="4"/>
        <v>10</v>
      </c>
      <c r="AF9" s="24">
        <f t="shared" si="4"/>
        <v>10</v>
      </c>
      <c r="AG9" s="24">
        <f t="shared" si="4"/>
        <v>10</v>
      </c>
      <c r="AH9" s="24">
        <f t="shared" si="4"/>
        <v>10</v>
      </c>
      <c r="AI9" s="24">
        <f t="shared" si="4"/>
        <v>10</v>
      </c>
      <c r="AJ9" s="10">
        <f t="shared" si="5"/>
        <v>100</v>
      </c>
      <c r="AL9" s="22">
        <f t="shared" si="16"/>
        <v>45535</v>
      </c>
      <c r="AM9" s="26">
        <v>5</v>
      </c>
      <c r="AN9" s="11">
        <f t="shared" si="6"/>
        <v>2739.7260273972611</v>
      </c>
      <c r="AO9" s="11">
        <f t="shared" si="7"/>
        <v>2739.7260273972602</v>
      </c>
      <c r="AP9" s="11">
        <f t="shared" si="8"/>
        <v>2739.7260273972606</v>
      </c>
      <c r="AQ9" s="11">
        <f t="shared" si="9"/>
        <v>2739.7260273972606</v>
      </c>
      <c r="AR9" s="11">
        <f t="shared" si="10"/>
        <v>2739.7260273972606</v>
      </c>
      <c r="AS9" s="11">
        <f t="shared" si="11"/>
        <v>2739.7260273972602</v>
      </c>
      <c r="AT9" s="11">
        <f t="shared" si="12"/>
        <v>2739.6703596572615</v>
      </c>
      <c r="AU9" s="11">
        <f t="shared" si="13"/>
        <v>2739.7260273972597</v>
      </c>
      <c r="AV9" s="11">
        <f t="shared" si="14"/>
        <v>2739.7260273972611</v>
      </c>
      <c r="AW9" s="15">
        <f t="shared" si="15"/>
        <v>84931.50684931509</v>
      </c>
      <c r="AX9" s="15">
        <f t="shared" si="17"/>
        <v>7968.1274900398412</v>
      </c>
      <c r="AY9" s="44">
        <f t="shared" si="18"/>
        <v>6772.9083665338649</v>
      </c>
    </row>
    <row r="10" spans="1:53" x14ac:dyDescent="0.25">
      <c r="A10" s="9" t="s">
        <v>41</v>
      </c>
      <c r="B10" s="11">
        <f>IF(B9&gt;0,((B5+B6)*B3)/B9,0)</f>
        <v>7968.1274900398412</v>
      </c>
      <c r="D10" s="26">
        <v>6</v>
      </c>
      <c r="E10">
        <f>'Calving input'!C22/2+'Calving input'!C23/2</f>
        <v>3</v>
      </c>
      <c r="F10" s="24">
        <f t="shared" si="0"/>
        <v>3</v>
      </c>
      <c r="G10" s="24">
        <f t="shared" si="1"/>
        <v>3</v>
      </c>
      <c r="H10" s="24">
        <f t="shared" si="1"/>
        <v>3</v>
      </c>
      <c r="I10" s="24">
        <f t="shared" si="1"/>
        <v>3</v>
      </c>
      <c r="J10" s="24">
        <f t="shared" si="1"/>
        <v>3</v>
      </c>
      <c r="K10" s="24">
        <f t="shared" si="1"/>
        <v>3</v>
      </c>
      <c r="L10" s="24">
        <f t="shared" si="1"/>
        <v>3</v>
      </c>
      <c r="M10" s="24">
        <f t="shared" si="1"/>
        <v>3</v>
      </c>
      <c r="N10" s="24">
        <f t="shared" si="1"/>
        <v>3</v>
      </c>
      <c r="O10" s="24">
        <f t="shared" si="1"/>
        <v>3</v>
      </c>
      <c r="P10" s="24">
        <f t="shared" si="1"/>
        <v>3</v>
      </c>
      <c r="Q10" s="24">
        <f t="shared" si="1"/>
        <v>3</v>
      </c>
      <c r="R10" s="24">
        <f t="shared" si="1"/>
        <v>3</v>
      </c>
      <c r="S10" s="10">
        <f t="shared" si="2"/>
        <v>30</v>
      </c>
      <c r="U10" s="26">
        <v>6</v>
      </c>
      <c r="V10">
        <f>'Calving input'!D22/2+'Calving input'!D23/2</f>
        <v>10</v>
      </c>
      <c r="W10" s="24">
        <f t="shared" si="3"/>
        <v>10</v>
      </c>
      <c r="X10" s="24">
        <f t="shared" si="4"/>
        <v>10</v>
      </c>
      <c r="Y10" s="24">
        <f t="shared" si="4"/>
        <v>10</v>
      </c>
      <c r="Z10" s="24">
        <f t="shared" si="4"/>
        <v>10</v>
      </c>
      <c r="AA10" s="24">
        <f t="shared" si="4"/>
        <v>10</v>
      </c>
      <c r="AB10" s="24">
        <f t="shared" si="4"/>
        <v>10</v>
      </c>
      <c r="AC10" s="24">
        <f t="shared" si="4"/>
        <v>10</v>
      </c>
      <c r="AD10" s="24">
        <f t="shared" si="4"/>
        <v>10</v>
      </c>
      <c r="AE10" s="24">
        <f t="shared" si="4"/>
        <v>10</v>
      </c>
      <c r="AF10" s="24">
        <f t="shared" si="4"/>
        <v>10</v>
      </c>
      <c r="AG10" s="24">
        <f t="shared" si="4"/>
        <v>10</v>
      </c>
      <c r="AH10" s="24">
        <f t="shared" si="4"/>
        <v>10</v>
      </c>
      <c r="AI10" s="24">
        <f t="shared" si="4"/>
        <v>10</v>
      </c>
      <c r="AJ10" s="10">
        <f t="shared" si="5"/>
        <v>100</v>
      </c>
      <c r="AL10" s="22">
        <f t="shared" si="16"/>
        <v>45565</v>
      </c>
      <c r="AM10" s="26">
        <v>6</v>
      </c>
      <c r="AN10" s="11">
        <f t="shared" si="6"/>
        <v>2739.7260273972611</v>
      </c>
      <c r="AO10" s="11">
        <f t="shared" si="7"/>
        <v>2739.7260273972602</v>
      </c>
      <c r="AP10" s="11">
        <f t="shared" si="8"/>
        <v>2739.7260273972606</v>
      </c>
      <c r="AQ10" s="11">
        <f t="shared" si="9"/>
        <v>2739.7260273972606</v>
      </c>
      <c r="AR10" s="11">
        <f t="shared" si="10"/>
        <v>2739.7260273972606</v>
      </c>
      <c r="AS10" s="11">
        <f t="shared" si="11"/>
        <v>2739.7260273972602</v>
      </c>
      <c r="AT10" s="11">
        <f t="shared" si="12"/>
        <v>2739.6703596572615</v>
      </c>
      <c r="AU10" s="11">
        <f t="shared" si="13"/>
        <v>2739.7260273972597</v>
      </c>
      <c r="AV10" s="11">
        <f t="shared" si="14"/>
        <v>2739.7260273972611</v>
      </c>
      <c r="AW10" s="15">
        <f t="shared" si="15"/>
        <v>82191.780821917826</v>
      </c>
      <c r="AX10" s="15">
        <f t="shared" si="17"/>
        <v>7968.1274900398412</v>
      </c>
      <c r="AY10" s="44">
        <f t="shared" si="18"/>
        <v>6772.9083665338649</v>
      </c>
    </row>
    <row r="11" spans="1:53" x14ac:dyDescent="0.25">
      <c r="A11" s="9" t="s">
        <v>89</v>
      </c>
      <c r="B11" s="11">
        <f>B10</f>
        <v>7968.1274900398412</v>
      </c>
      <c r="D11" s="26">
        <v>7</v>
      </c>
      <c r="E11">
        <f>'Calving input'!C23/2+'Calving input'!C24/2</f>
        <v>3</v>
      </c>
      <c r="F11" s="24">
        <f t="shared" si="0"/>
        <v>3</v>
      </c>
      <c r="G11" s="24">
        <f t="shared" si="1"/>
        <v>3</v>
      </c>
      <c r="H11" s="24">
        <f t="shared" si="1"/>
        <v>3</v>
      </c>
      <c r="I11" s="24">
        <f t="shared" si="1"/>
        <v>3</v>
      </c>
      <c r="J11" s="24">
        <f t="shared" si="1"/>
        <v>3</v>
      </c>
      <c r="K11" s="24">
        <f t="shared" si="1"/>
        <v>3</v>
      </c>
      <c r="L11" s="24">
        <f t="shared" si="1"/>
        <v>3</v>
      </c>
      <c r="M11" s="24">
        <f t="shared" si="1"/>
        <v>3</v>
      </c>
      <c r="N11" s="24">
        <f t="shared" si="1"/>
        <v>3</v>
      </c>
      <c r="O11" s="24">
        <f t="shared" si="1"/>
        <v>3</v>
      </c>
      <c r="P11" s="24">
        <f t="shared" si="1"/>
        <v>3</v>
      </c>
      <c r="Q11" s="24">
        <f t="shared" si="1"/>
        <v>3</v>
      </c>
      <c r="R11" s="24">
        <f t="shared" si="1"/>
        <v>3</v>
      </c>
      <c r="S11" s="10">
        <f t="shared" si="2"/>
        <v>30</v>
      </c>
      <c r="U11" s="26">
        <v>7</v>
      </c>
      <c r="V11">
        <f>'Calving input'!D23/2+'Calving input'!D24/2</f>
        <v>10</v>
      </c>
      <c r="W11" s="24">
        <f t="shared" si="3"/>
        <v>10</v>
      </c>
      <c r="X11" s="24">
        <f t="shared" si="4"/>
        <v>10</v>
      </c>
      <c r="Y11" s="24">
        <f t="shared" si="4"/>
        <v>10</v>
      </c>
      <c r="Z11" s="24">
        <f t="shared" si="4"/>
        <v>10</v>
      </c>
      <c r="AA11" s="24">
        <f t="shared" si="4"/>
        <v>10</v>
      </c>
      <c r="AB11" s="24">
        <f t="shared" si="4"/>
        <v>10</v>
      </c>
      <c r="AC11" s="24">
        <f t="shared" si="4"/>
        <v>10</v>
      </c>
      <c r="AD11" s="24">
        <f t="shared" si="4"/>
        <v>10</v>
      </c>
      <c r="AE11" s="24">
        <f t="shared" si="4"/>
        <v>10</v>
      </c>
      <c r="AF11" s="24">
        <f t="shared" si="4"/>
        <v>10</v>
      </c>
      <c r="AG11" s="24">
        <f t="shared" si="4"/>
        <v>10</v>
      </c>
      <c r="AH11" s="24">
        <f t="shared" si="4"/>
        <v>10</v>
      </c>
      <c r="AI11" s="24">
        <f t="shared" si="4"/>
        <v>10</v>
      </c>
      <c r="AJ11" s="10">
        <f t="shared" si="5"/>
        <v>100</v>
      </c>
      <c r="AL11" s="22">
        <f t="shared" si="16"/>
        <v>45596</v>
      </c>
      <c r="AM11" s="26">
        <v>7</v>
      </c>
      <c r="AN11" s="11">
        <f t="shared" si="6"/>
        <v>2739.7260273972611</v>
      </c>
      <c r="AO11" s="11">
        <f t="shared" si="7"/>
        <v>2739.7260273972602</v>
      </c>
      <c r="AP11" s="11">
        <f t="shared" si="8"/>
        <v>2739.7260273972606</v>
      </c>
      <c r="AQ11" s="11">
        <f t="shared" si="9"/>
        <v>2739.7260273972606</v>
      </c>
      <c r="AR11" s="11">
        <f t="shared" si="10"/>
        <v>2739.7260273972606</v>
      </c>
      <c r="AS11" s="11">
        <f t="shared" si="11"/>
        <v>2739.7260273972602</v>
      </c>
      <c r="AT11" s="11">
        <f t="shared" si="12"/>
        <v>2739.6703596572615</v>
      </c>
      <c r="AU11" s="11">
        <f t="shared" si="13"/>
        <v>2739.7260273972597</v>
      </c>
      <c r="AV11" s="11">
        <f t="shared" si="14"/>
        <v>2739.7260273972611</v>
      </c>
      <c r="AW11" s="15">
        <f t="shared" si="15"/>
        <v>84931.50684931509</v>
      </c>
      <c r="AX11" s="15">
        <f t="shared" si="17"/>
        <v>7968.1274900398412</v>
      </c>
      <c r="AY11" s="44">
        <f t="shared" si="18"/>
        <v>6772.9083665338649</v>
      </c>
    </row>
    <row r="12" spans="1:53" ht="13" thickBot="1" x14ac:dyDescent="0.3">
      <c r="A12" s="12" t="s">
        <v>42</v>
      </c>
      <c r="B12" s="13">
        <f>B11*B4/100</f>
        <v>6772.9083665338649</v>
      </c>
      <c r="D12" s="26">
        <v>8</v>
      </c>
      <c r="E12">
        <f>'Calving input'!C24/2+'Calving input'!C25/2</f>
        <v>3</v>
      </c>
      <c r="F12" s="24">
        <f t="shared" si="0"/>
        <v>3</v>
      </c>
      <c r="G12" s="24">
        <f t="shared" si="1"/>
        <v>3</v>
      </c>
      <c r="H12" s="24">
        <f t="shared" si="1"/>
        <v>3</v>
      </c>
      <c r="I12" s="24">
        <f t="shared" si="1"/>
        <v>3</v>
      </c>
      <c r="J12" s="24">
        <f t="shared" si="1"/>
        <v>3</v>
      </c>
      <c r="K12" s="24">
        <f t="shared" si="1"/>
        <v>3</v>
      </c>
      <c r="L12" s="24">
        <f t="shared" si="1"/>
        <v>3</v>
      </c>
      <c r="M12" s="24">
        <f t="shared" si="1"/>
        <v>3</v>
      </c>
      <c r="N12" s="24">
        <f t="shared" si="1"/>
        <v>3</v>
      </c>
      <c r="O12" s="24">
        <f t="shared" si="1"/>
        <v>3</v>
      </c>
      <c r="P12" s="24">
        <f t="shared" si="1"/>
        <v>3</v>
      </c>
      <c r="Q12" s="24">
        <f t="shared" si="1"/>
        <v>3</v>
      </c>
      <c r="R12" s="24">
        <f t="shared" si="1"/>
        <v>3</v>
      </c>
      <c r="S12" s="10">
        <f t="shared" si="2"/>
        <v>30</v>
      </c>
      <c r="U12" s="26">
        <v>8</v>
      </c>
      <c r="V12">
        <f>'Calving input'!D24/2+'Calving input'!D25/2</f>
        <v>10</v>
      </c>
      <c r="W12" s="24">
        <f t="shared" si="3"/>
        <v>10</v>
      </c>
      <c r="X12" s="24">
        <f t="shared" si="4"/>
        <v>10</v>
      </c>
      <c r="Y12" s="24">
        <f t="shared" si="4"/>
        <v>10</v>
      </c>
      <c r="Z12" s="24">
        <f t="shared" si="4"/>
        <v>10</v>
      </c>
      <c r="AA12" s="24">
        <f t="shared" si="4"/>
        <v>10</v>
      </c>
      <c r="AB12" s="24">
        <f t="shared" si="4"/>
        <v>10</v>
      </c>
      <c r="AC12" s="24">
        <f t="shared" si="4"/>
        <v>10</v>
      </c>
      <c r="AD12" s="24">
        <f t="shared" si="4"/>
        <v>10</v>
      </c>
      <c r="AE12" s="24">
        <f t="shared" si="4"/>
        <v>10</v>
      </c>
      <c r="AF12" s="24">
        <f t="shared" si="4"/>
        <v>10</v>
      </c>
      <c r="AG12" s="24">
        <f t="shared" si="4"/>
        <v>10</v>
      </c>
      <c r="AH12" s="24">
        <f t="shared" si="4"/>
        <v>10</v>
      </c>
      <c r="AI12" s="24">
        <f t="shared" si="4"/>
        <v>10</v>
      </c>
      <c r="AJ12" s="10">
        <f t="shared" si="5"/>
        <v>100</v>
      </c>
      <c r="AL12" s="22">
        <f t="shared" si="16"/>
        <v>45626</v>
      </c>
      <c r="AM12" s="26">
        <v>8</v>
      </c>
      <c r="AN12" s="11">
        <f t="shared" si="6"/>
        <v>2739.7260273972611</v>
      </c>
      <c r="AO12" s="11">
        <f t="shared" si="7"/>
        <v>2739.7260273972602</v>
      </c>
      <c r="AP12" s="11">
        <f t="shared" si="8"/>
        <v>2739.7260273972606</v>
      </c>
      <c r="AQ12" s="11">
        <f t="shared" si="9"/>
        <v>2739.7260273972606</v>
      </c>
      <c r="AR12" s="11">
        <f t="shared" si="10"/>
        <v>2739.7260273972606</v>
      </c>
      <c r="AS12" s="11">
        <f t="shared" si="11"/>
        <v>2739.7260273972602</v>
      </c>
      <c r="AT12" s="11">
        <f t="shared" si="12"/>
        <v>2739.6703596572615</v>
      </c>
      <c r="AU12" s="11">
        <f t="shared" si="13"/>
        <v>2739.7260273972597</v>
      </c>
      <c r="AV12" s="11">
        <f t="shared" si="14"/>
        <v>2739.7260273972611</v>
      </c>
      <c r="AW12" s="15">
        <f t="shared" si="15"/>
        <v>82191.780821917826</v>
      </c>
      <c r="AX12" s="15">
        <f t="shared" si="17"/>
        <v>7968.1274900398412</v>
      </c>
      <c r="AY12" s="44">
        <f t="shared" si="18"/>
        <v>6772.9083665338649</v>
      </c>
      <c r="BA12" s="43">
        <f>(AX7*120+AY7*36)*305/365</f>
        <v>1002739.7260273972</v>
      </c>
    </row>
    <row r="13" spans="1:53" x14ac:dyDescent="0.25">
      <c r="A13" s="6"/>
      <c r="B13" s="7"/>
      <c r="D13" s="26">
        <v>9</v>
      </c>
      <c r="E13">
        <f>'Calving input'!C25/2+'Calving input'!C26/2</f>
        <v>3</v>
      </c>
      <c r="F13" s="24">
        <f t="shared" si="0"/>
        <v>3</v>
      </c>
      <c r="G13" s="24">
        <f t="shared" si="1"/>
        <v>3</v>
      </c>
      <c r="H13" s="24">
        <f t="shared" si="1"/>
        <v>3</v>
      </c>
      <c r="I13" s="24">
        <f t="shared" si="1"/>
        <v>3</v>
      </c>
      <c r="J13" s="24">
        <f t="shared" si="1"/>
        <v>3</v>
      </c>
      <c r="K13" s="24">
        <f t="shared" si="1"/>
        <v>3</v>
      </c>
      <c r="L13" s="24">
        <f t="shared" si="1"/>
        <v>3</v>
      </c>
      <c r="M13" s="24">
        <f t="shared" si="1"/>
        <v>3</v>
      </c>
      <c r="N13" s="24">
        <f t="shared" si="1"/>
        <v>3</v>
      </c>
      <c r="O13" s="24">
        <f t="shared" si="1"/>
        <v>3</v>
      </c>
      <c r="P13" s="24">
        <f t="shared" si="1"/>
        <v>3</v>
      </c>
      <c r="Q13" s="24">
        <f t="shared" si="1"/>
        <v>3</v>
      </c>
      <c r="R13" s="24">
        <f t="shared" si="1"/>
        <v>3</v>
      </c>
      <c r="S13" s="10">
        <f t="shared" si="2"/>
        <v>30</v>
      </c>
      <c r="U13" s="26">
        <v>9</v>
      </c>
      <c r="V13">
        <f>'Calving input'!D25/2+'Calving input'!D26/2</f>
        <v>10</v>
      </c>
      <c r="W13" s="24">
        <f t="shared" si="3"/>
        <v>10</v>
      </c>
      <c r="X13" s="24">
        <f t="shared" si="4"/>
        <v>10</v>
      </c>
      <c r="Y13" s="24">
        <f t="shared" si="4"/>
        <v>10</v>
      </c>
      <c r="Z13" s="24">
        <f t="shared" si="4"/>
        <v>10</v>
      </c>
      <c r="AA13" s="24">
        <f t="shared" si="4"/>
        <v>10</v>
      </c>
      <c r="AB13" s="24">
        <f t="shared" si="4"/>
        <v>10</v>
      </c>
      <c r="AC13" s="24">
        <f t="shared" si="4"/>
        <v>10</v>
      </c>
      <c r="AD13" s="24">
        <f t="shared" si="4"/>
        <v>10</v>
      </c>
      <c r="AE13" s="24">
        <f t="shared" si="4"/>
        <v>10</v>
      </c>
      <c r="AF13" s="24">
        <f t="shared" si="4"/>
        <v>10</v>
      </c>
      <c r="AG13" s="24">
        <f t="shared" si="4"/>
        <v>10</v>
      </c>
      <c r="AH13" s="24">
        <f t="shared" si="4"/>
        <v>10</v>
      </c>
      <c r="AI13" s="24">
        <f t="shared" si="4"/>
        <v>10</v>
      </c>
      <c r="AJ13" s="10">
        <f t="shared" si="5"/>
        <v>100</v>
      </c>
      <c r="AL13" s="22">
        <f t="shared" si="16"/>
        <v>45657</v>
      </c>
      <c r="AM13" s="26">
        <v>9</v>
      </c>
      <c r="AN13" s="11">
        <f t="shared" si="6"/>
        <v>2739.7260273972611</v>
      </c>
      <c r="AO13" s="11">
        <f t="shared" si="7"/>
        <v>2739.7260273972602</v>
      </c>
      <c r="AP13" s="11">
        <f t="shared" si="8"/>
        <v>2739.7260273972606</v>
      </c>
      <c r="AQ13" s="11">
        <f t="shared" si="9"/>
        <v>2739.7260273972606</v>
      </c>
      <c r="AR13" s="11">
        <f t="shared" si="10"/>
        <v>2739.7260273972606</v>
      </c>
      <c r="AS13" s="11">
        <f t="shared" si="11"/>
        <v>2739.7260273972602</v>
      </c>
      <c r="AT13" s="11">
        <f t="shared" si="12"/>
        <v>2739.6703596572615</v>
      </c>
      <c r="AU13" s="11">
        <f t="shared" si="13"/>
        <v>2739.7260273972597</v>
      </c>
      <c r="AV13" s="11">
        <f t="shared" si="14"/>
        <v>2739.7260273972611</v>
      </c>
      <c r="AW13" s="15">
        <f t="shared" si="15"/>
        <v>84931.50684931509</v>
      </c>
      <c r="AX13" s="15">
        <f t="shared" si="17"/>
        <v>7968.1274900398412</v>
      </c>
      <c r="AY13" s="44">
        <f t="shared" si="18"/>
        <v>6772.9083665338649</v>
      </c>
    </row>
    <row r="14" spans="1:53" ht="13" thickBot="1" x14ac:dyDescent="0.3">
      <c r="A14" s="12" t="s">
        <v>88</v>
      </c>
      <c r="B14" s="28">
        <f>SUM($S5:$S16,$AJ5:$AJ16)/12</f>
        <v>130</v>
      </c>
      <c r="D14" s="26">
        <v>10</v>
      </c>
      <c r="E14">
        <f>'Calving input'!C26/2+'Calving input'!C27/2</f>
        <v>3</v>
      </c>
      <c r="F14" s="24">
        <f t="shared" si="0"/>
        <v>3</v>
      </c>
      <c r="G14" s="24">
        <f t="shared" si="1"/>
        <v>3</v>
      </c>
      <c r="H14" s="24">
        <f t="shared" si="1"/>
        <v>3</v>
      </c>
      <c r="I14" s="24">
        <f t="shared" si="1"/>
        <v>3</v>
      </c>
      <c r="J14" s="24">
        <f t="shared" si="1"/>
        <v>3</v>
      </c>
      <c r="K14" s="24">
        <f t="shared" si="1"/>
        <v>3</v>
      </c>
      <c r="L14" s="24">
        <f t="shared" si="1"/>
        <v>3</v>
      </c>
      <c r="M14" s="24">
        <f t="shared" si="1"/>
        <v>3</v>
      </c>
      <c r="N14" s="24">
        <f t="shared" si="1"/>
        <v>3</v>
      </c>
      <c r="O14" s="24">
        <f t="shared" si="1"/>
        <v>3</v>
      </c>
      <c r="P14" s="24">
        <f t="shared" si="1"/>
        <v>3</v>
      </c>
      <c r="Q14" s="24">
        <f t="shared" si="1"/>
        <v>3</v>
      </c>
      <c r="R14" s="24">
        <f t="shared" si="1"/>
        <v>3</v>
      </c>
      <c r="S14" s="10">
        <f t="shared" si="2"/>
        <v>30</v>
      </c>
      <c r="U14" s="26">
        <v>10</v>
      </c>
      <c r="V14">
        <f>'Calving input'!D26/2+'Calving input'!D27/2</f>
        <v>10</v>
      </c>
      <c r="W14" s="24">
        <f t="shared" si="3"/>
        <v>10</v>
      </c>
      <c r="X14" s="24">
        <f t="shared" si="4"/>
        <v>10</v>
      </c>
      <c r="Y14" s="24">
        <f t="shared" si="4"/>
        <v>10</v>
      </c>
      <c r="Z14" s="24">
        <f t="shared" si="4"/>
        <v>10</v>
      </c>
      <c r="AA14" s="24">
        <f t="shared" si="4"/>
        <v>10</v>
      </c>
      <c r="AB14" s="24">
        <f t="shared" si="4"/>
        <v>10</v>
      </c>
      <c r="AC14" s="24">
        <f t="shared" si="4"/>
        <v>10</v>
      </c>
      <c r="AD14" s="24">
        <f t="shared" si="4"/>
        <v>10</v>
      </c>
      <c r="AE14" s="24">
        <f t="shared" si="4"/>
        <v>10</v>
      </c>
      <c r="AF14" s="24">
        <f t="shared" si="4"/>
        <v>10</v>
      </c>
      <c r="AG14" s="24">
        <f t="shared" si="4"/>
        <v>10</v>
      </c>
      <c r="AH14" s="24">
        <f t="shared" si="4"/>
        <v>10</v>
      </c>
      <c r="AI14" s="24">
        <f t="shared" si="4"/>
        <v>10</v>
      </c>
      <c r="AJ14" s="10">
        <f t="shared" si="5"/>
        <v>100</v>
      </c>
      <c r="AL14" s="22">
        <f t="shared" si="16"/>
        <v>45688</v>
      </c>
      <c r="AM14" s="26">
        <v>10</v>
      </c>
      <c r="AN14" s="11">
        <f t="shared" si="6"/>
        <v>2739.7260273972611</v>
      </c>
      <c r="AO14" s="11">
        <f t="shared" si="7"/>
        <v>2739.7260273972602</v>
      </c>
      <c r="AP14" s="11">
        <f t="shared" si="8"/>
        <v>2739.7260273972606</v>
      </c>
      <c r="AQ14" s="11">
        <f t="shared" si="9"/>
        <v>2739.7260273972606</v>
      </c>
      <c r="AR14" s="11">
        <f t="shared" si="10"/>
        <v>2739.7260273972606</v>
      </c>
      <c r="AS14" s="11">
        <f t="shared" si="11"/>
        <v>2739.7260273972602</v>
      </c>
      <c r="AT14" s="11">
        <f t="shared" si="12"/>
        <v>2739.6703596572615</v>
      </c>
      <c r="AU14" s="11">
        <f t="shared" si="13"/>
        <v>2739.7260273972597</v>
      </c>
      <c r="AV14" s="11">
        <f t="shared" si="14"/>
        <v>2739.7260273972611</v>
      </c>
      <c r="AW14" s="15">
        <f t="shared" si="15"/>
        <v>84931.50684931509</v>
      </c>
      <c r="AX14" s="15">
        <f t="shared" si="17"/>
        <v>7968.1274900398412</v>
      </c>
      <c r="AY14" s="44">
        <f t="shared" si="18"/>
        <v>6772.9083665338649</v>
      </c>
    </row>
    <row r="15" spans="1:53" x14ac:dyDescent="0.25">
      <c r="D15" s="26">
        <v>11</v>
      </c>
      <c r="E15">
        <f>'Calving input'!C27/2+'Calving input'!C28/2</f>
        <v>3</v>
      </c>
      <c r="F15" s="24">
        <f t="shared" si="0"/>
        <v>3</v>
      </c>
      <c r="G15" s="24">
        <f t="shared" si="1"/>
        <v>3</v>
      </c>
      <c r="H15" s="24">
        <f t="shared" si="1"/>
        <v>3</v>
      </c>
      <c r="I15" s="24">
        <f t="shared" si="1"/>
        <v>3</v>
      </c>
      <c r="J15" s="24">
        <f t="shared" si="1"/>
        <v>3</v>
      </c>
      <c r="K15" s="24">
        <f t="shared" si="1"/>
        <v>3</v>
      </c>
      <c r="L15" s="24">
        <f t="shared" si="1"/>
        <v>3</v>
      </c>
      <c r="M15" s="24">
        <f t="shared" si="1"/>
        <v>3</v>
      </c>
      <c r="N15" s="24">
        <f t="shared" si="1"/>
        <v>3</v>
      </c>
      <c r="O15" s="24">
        <f t="shared" si="1"/>
        <v>3</v>
      </c>
      <c r="P15" s="24">
        <f t="shared" si="1"/>
        <v>3</v>
      </c>
      <c r="Q15" s="24">
        <f t="shared" si="1"/>
        <v>3</v>
      </c>
      <c r="R15" s="24">
        <f t="shared" si="1"/>
        <v>3</v>
      </c>
      <c r="S15" s="10">
        <f t="shared" si="2"/>
        <v>30</v>
      </c>
      <c r="U15" s="26">
        <v>11</v>
      </c>
      <c r="V15">
        <f>'Calving input'!D27/2+'Calving input'!D28/2</f>
        <v>10</v>
      </c>
      <c r="W15" s="24">
        <f t="shared" si="3"/>
        <v>10</v>
      </c>
      <c r="X15" s="24">
        <f t="shared" si="4"/>
        <v>10</v>
      </c>
      <c r="Y15" s="24">
        <f t="shared" si="4"/>
        <v>10</v>
      </c>
      <c r="Z15" s="24">
        <f t="shared" si="4"/>
        <v>10</v>
      </c>
      <c r="AA15" s="24">
        <f t="shared" si="4"/>
        <v>10</v>
      </c>
      <c r="AB15" s="24">
        <f t="shared" si="4"/>
        <v>10</v>
      </c>
      <c r="AC15" s="24">
        <f t="shared" si="4"/>
        <v>10</v>
      </c>
      <c r="AD15" s="24">
        <f t="shared" si="4"/>
        <v>10</v>
      </c>
      <c r="AE15" s="24">
        <f t="shared" si="4"/>
        <v>10</v>
      </c>
      <c r="AF15" s="24">
        <f t="shared" si="4"/>
        <v>10</v>
      </c>
      <c r="AG15" s="24">
        <f t="shared" si="4"/>
        <v>10</v>
      </c>
      <c r="AH15" s="24">
        <f t="shared" si="4"/>
        <v>10</v>
      </c>
      <c r="AI15" s="24">
        <f t="shared" si="4"/>
        <v>10</v>
      </c>
      <c r="AJ15" s="10">
        <f t="shared" si="5"/>
        <v>100</v>
      </c>
      <c r="AL15" s="22">
        <f t="shared" si="16"/>
        <v>45716</v>
      </c>
      <c r="AM15" s="26">
        <v>11</v>
      </c>
      <c r="AN15" s="11">
        <f t="shared" si="6"/>
        <v>2739.7260273972611</v>
      </c>
      <c r="AO15" s="11">
        <f t="shared" si="7"/>
        <v>2739.7260273972602</v>
      </c>
      <c r="AP15" s="11">
        <f t="shared" si="8"/>
        <v>2739.7260273972606</v>
      </c>
      <c r="AQ15" s="11">
        <f t="shared" si="9"/>
        <v>2739.7260273972606</v>
      </c>
      <c r="AR15" s="11">
        <f t="shared" si="10"/>
        <v>2739.7260273972606</v>
      </c>
      <c r="AS15" s="11">
        <f t="shared" si="11"/>
        <v>2739.7260273972602</v>
      </c>
      <c r="AT15" s="11">
        <f t="shared" si="12"/>
        <v>2739.6703596572615</v>
      </c>
      <c r="AU15" s="11">
        <f t="shared" si="13"/>
        <v>2739.7260273972597</v>
      </c>
      <c r="AV15" s="11">
        <f t="shared" si="14"/>
        <v>2739.7260273972611</v>
      </c>
      <c r="AW15" s="15">
        <f t="shared" si="15"/>
        <v>76712.328767123312</v>
      </c>
      <c r="AX15" s="15">
        <f t="shared" si="17"/>
        <v>7968.1274900398412</v>
      </c>
      <c r="AY15" s="44">
        <f t="shared" si="18"/>
        <v>6772.9083665338649</v>
      </c>
    </row>
    <row r="16" spans="1:53" x14ac:dyDescent="0.25">
      <c r="B16" s="35"/>
      <c r="D16" s="26">
        <v>12</v>
      </c>
      <c r="E16">
        <f>'Calving input'!C28/2+'Calving input'!C29/2</f>
        <v>3</v>
      </c>
      <c r="F16" s="24">
        <f t="shared" si="0"/>
        <v>3</v>
      </c>
      <c r="G16" s="24">
        <f t="shared" si="1"/>
        <v>3</v>
      </c>
      <c r="H16" s="24">
        <f t="shared" si="1"/>
        <v>3</v>
      </c>
      <c r="I16" s="24">
        <f t="shared" si="1"/>
        <v>3</v>
      </c>
      <c r="J16" s="24">
        <f t="shared" si="1"/>
        <v>3</v>
      </c>
      <c r="K16" s="24">
        <f t="shared" si="1"/>
        <v>3</v>
      </c>
      <c r="L16" s="24">
        <f t="shared" si="1"/>
        <v>3</v>
      </c>
      <c r="M16" s="24">
        <f t="shared" si="1"/>
        <v>3</v>
      </c>
      <c r="N16" s="24">
        <f t="shared" si="1"/>
        <v>3</v>
      </c>
      <c r="O16" s="24">
        <f t="shared" si="1"/>
        <v>3</v>
      </c>
      <c r="P16" s="24">
        <f t="shared" si="1"/>
        <v>3</v>
      </c>
      <c r="Q16" s="24">
        <f t="shared" si="1"/>
        <v>3</v>
      </c>
      <c r="R16" s="24">
        <f t="shared" si="1"/>
        <v>3</v>
      </c>
      <c r="S16" s="10">
        <f t="shared" si="2"/>
        <v>30</v>
      </c>
      <c r="U16" s="26">
        <v>12</v>
      </c>
      <c r="V16">
        <f>'Calving input'!D28/2+'Calving input'!D29/2</f>
        <v>10</v>
      </c>
      <c r="W16" s="24">
        <f t="shared" si="3"/>
        <v>10</v>
      </c>
      <c r="X16" s="24">
        <f t="shared" si="4"/>
        <v>10</v>
      </c>
      <c r="Y16" s="24">
        <f t="shared" si="4"/>
        <v>10</v>
      </c>
      <c r="Z16" s="24">
        <f t="shared" si="4"/>
        <v>10</v>
      </c>
      <c r="AA16" s="24">
        <f t="shared" si="4"/>
        <v>10</v>
      </c>
      <c r="AB16" s="24">
        <f t="shared" si="4"/>
        <v>10</v>
      </c>
      <c r="AC16" s="24">
        <f t="shared" si="4"/>
        <v>10</v>
      </c>
      <c r="AD16" s="24">
        <f t="shared" si="4"/>
        <v>10</v>
      </c>
      <c r="AE16" s="24">
        <f t="shared" si="4"/>
        <v>10</v>
      </c>
      <c r="AF16" s="24">
        <f t="shared" si="4"/>
        <v>10</v>
      </c>
      <c r="AG16" s="24">
        <f t="shared" si="4"/>
        <v>10</v>
      </c>
      <c r="AH16" s="24">
        <f t="shared" si="4"/>
        <v>10</v>
      </c>
      <c r="AI16" s="24">
        <f t="shared" si="4"/>
        <v>10</v>
      </c>
      <c r="AJ16" s="10">
        <f t="shared" si="5"/>
        <v>100</v>
      </c>
      <c r="AL16" s="22">
        <f t="shared" si="16"/>
        <v>45747</v>
      </c>
      <c r="AM16" s="26">
        <v>12</v>
      </c>
      <c r="AN16" s="11">
        <f t="shared" si="6"/>
        <v>2739.7260273972611</v>
      </c>
      <c r="AO16" s="11">
        <f t="shared" si="7"/>
        <v>2739.7260273972602</v>
      </c>
      <c r="AP16" s="11">
        <f t="shared" si="8"/>
        <v>2739.7260273972606</v>
      </c>
      <c r="AQ16" s="11">
        <f t="shared" si="9"/>
        <v>2739.7260273972606</v>
      </c>
      <c r="AR16" s="11">
        <f t="shared" si="10"/>
        <v>2739.7260273972606</v>
      </c>
      <c r="AS16" s="11">
        <f t="shared" si="11"/>
        <v>2739.7260273972602</v>
      </c>
      <c r="AT16" s="11">
        <f t="shared" si="12"/>
        <v>2739.6703596572615</v>
      </c>
      <c r="AU16" s="11">
        <f t="shared" si="13"/>
        <v>2739.7260273972597</v>
      </c>
      <c r="AV16" s="11">
        <f t="shared" si="14"/>
        <v>2739.7260273972611</v>
      </c>
      <c r="AW16" s="15">
        <f t="shared" si="15"/>
        <v>84931.50684931509</v>
      </c>
      <c r="AX16" s="15">
        <f t="shared" si="17"/>
        <v>7968.1274900398412</v>
      </c>
      <c r="AY16" s="44">
        <f t="shared" si="18"/>
        <v>6772.9083665338649</v>
      </c>
    </row>
    <row r="17" spans="1:51" x14ac:dyDescent="0.25">
      <c r="A17" t="s">
        <v>120</v>
      </c>
      <c r="B17" s="260">
        <f>IF(Input!F19=0,0,IF(Input!F19&lt;0,Input!F19,NOMINAL(Input!F19,12)))/12</f>
        <v>0</v>
      </c>
      <c r="D17" s="26">
        <v>13</v>
      </c>
      <c r="E17">
        <f>'Calving input'!C29/2+'Calving input'!C31/2</f>
        <v>3</v>
      </c>
      <c r="F17" s="24">
        <f t="shared" si="0"/>
        <v>3</v>
      </c>
      <c r="G17" s="24">
        <f t="shared" si="1"/>
        <v>3</v>
      </c>
      <c r="H17" s="24">
        <f t="shared" si="1"/>
        <v>3</v>
      </c>
      <c r="I17" s="24">
        <f t="shared" si="1"/>
        <v>3</v>
      </c>
      <c r="J17" s="24">
        <f t="shared" si="1"/>
        <v>3</v>
      </c>
      <c r="K17" s="24">
        <f t="shared" si="1"/>
        <v>3</v>
      </c>
      <c r="L17" s="24">
        <f t="shared" si="1"/>
        <v>3</v>
      </c>
      <c r="M17" s="24">
        <f t="shared" si="1"/>
        <v>3</v>
      </c>
      <c r="N17" s="24">
        <f t="shared" si="1"/>
        <v>3</v>
      </c>
      <c r="O17" s="24">
        <f t="shared" si="1"/>
        <v>3</v>
      </c>
      <c r="P17" s="24">
        <f t="shared" si="1"/>
        <v>3</v>
      </c>
      <c r="Q17" s="24">
        <f t="shared" si="1"/>
        <v>3</v>
      </c>
      <c r="R17" s="24">
        <f t="shared" si="1"/>
        <v>3</v>
      </c>
      <c r="S17" s="10">
        <f t="shared" si="2"/>
        <v>30</v>
      </c>
      <c r="U17" s="26">
        <v>13</v>
      </c>
      <c r="V17">
        <f>'Calving input'!D29/2+'Calving input'!D31/2</f>
        <v>10</v>
      </c>
      <c r="W17" s="24">
        <f t="shared" si="3"/>
        <v>10</v>
      </c>
      <c r="X17" s="24">
        <f t="shared" si="4"/>
        <v>10</v>
      </c>
      <c r="Y17" s="24">
        <f t="shared" si="4"/>
        <v>10</v>
      </c>
      <c r="Z17" s="24">
        <f t="shared" si="4"/>
        <v>10</v>
      </c>
      <c r="AA17" s="24">
        <f t="shared" si="4"/>
        <v>10</v>
      </c>
      <c r="AB17" s="24">
        <f t="shared" si="4"/>
        <v>10</v>
      </c>
      <c r="AC17" s="24">
        <f t="shared" si="4"/>
        <v>10</v>
      </c>
      <c r="AD17" s="24">
        <f t="shared" si="4"/>
        <v>10</v>
      </c>
      <c r="AE17" s="24">
        <f t="shared" si="4"/>
        <v>10</v>
      </c>
      <c r="AF17" s="24">
        <f t="shared" si="4"/>
        <v>10</v>
      </c>
      <c r="AG17" s="24">
        <f t="shared" si="4"/>
        <v>10</v>
      </c>
      <c r="AH17" s="24">
        <f t="shared" si="4"/>
        <v>10</v>
      </c>
      <c r="AI17" s="24">
        <f t="shared" si="4"/>
        <v>10</v>
      </c>
      <c r="AJ17" s="10">
        <f t="shared" si="5"/>
        <v>100</v>
      </c>
      <c r="AL17" s="22">
        <f t="shared" si="16"/>
        <v>45777</v>
      </c>
      <c r="AM17" s="26">
        <v>13</v>
      </c>
      <c r="AN17" s="11">
        <f t="shared" si="6"/>
        <v>2739.7260273972611</v>
      </c>
      <c r="AO17" s="11">
        <f t="shared" si="7"/>
        <v>2739.7260273972602</v>
      </c>
      <c r="AP17" s="11">
        <f t="shared" si="8"/>
        <v>2739.7260273972606</v>
      </c>
      <c r="AQ17" s="11">
        <f t="shared" si="9"/>
        <v>2739.7260273972606</v>
      </c>
      <c r="AR17" s="11">
        <f t="shared" si="10"/>
        <v>2739.7260273972606</v>
      </c>
      <c r="AS17" s="11">
        <f t="shared" si="11"/>
        <v>2739.7260273972602</v>
      </c>
      <c r="AT17" s="11">
        <f t="shared" si="12"/>
        <v>2739.6703596572615</v>
      </c>
      <c r="AU17" s="11">
        <f t="shared" si="13"/>
        <v>2739.7260273972597</v>
      </c>
      <c r="AV17" s="11">
        <f t="shared" si="14"/>
        <v>2739.7260273972611</v>
      </c>
      <c r="AW17" s="15">
        <f t="shared" si="15"/>
        <v>82191.780821917826</v>
      </c>
      <c r="AX17" s="15">
        <f t="shared" si="17"/>
        <v>7968.1274900398412</v>
      </c>
      <c r="AY17" s="44">
        <f t="shared" si="18"/>
        <v>6772.9083665338649</v>
      </c>
    </row>
    <row r="18" spans="1:51" x14ac:dyDescent="0.25">
      <c r="D18" s="26">
        <v>14</v>
      </c>
      <c r="E18">
        <f>'Calving input'!C31/2+'Calving input'!C32/2</f>
        <v>3</v>
      </c>
      <c r="F18" s="24">
        <f t="shared" si="0"/>
        <v>3</v>
      </c>
      <c r="G18" s="24">
        <f t="shared" si="1"/>
        <v>3</v>
      </c>
      <c r="H18" s="24">
        <f t="shared" si="1"/>
        <v>3</v>
      </c>
      <c r="I18" s="24">
        <f t="shared" si="1"/>
        <v>3</v>
      </c>
      <c r="J18" s="24">
        <f t="shared" si="1"/>
        <v>3</v>
      </c>
      <c r="K18" s="24">
        <f t="shared" si="1"/>
        <v>3</v>
      </c>
      <c r="L18" s="24">
        <f t="shared" si="1"/>
        <v>3</v>
      </c>
      <c r="M18" s="24">
        <f t="shared" si="1"/>
        <v>3</v>
      </c>
      <c r="N18" s="24">
        <f t="shared" si="1"/>
        <v>3</v>
      </c>
      <c r="O18" s="24">
        <f t="shared" si="1"/>
        <v>3</v>
      </c>
      <c r="P18" s="24">
        <f t="shared" si="1"/>
        <v>3</v>
      </c>
      <c r="Q18" s="24">
        <f t="shared" si="1"/>
        <v>3</v>
      </c>
      <c r="R18" s="24">
        <f t="shared" si="1"/>
        <v>3</v>
      </c>
      <c r="S18" s="10">
        <f t="shared" si="2"/>
        <v>30</v>
      </c>
      <c r="U18" s="26">
        <v>14</v>
      </c>
      <c r="V18">
        <f>'Calving input'!D31/2+'Calving input'!D32/2</f>
        <v>10</v>
      </c>
      <c r="W18" s="24">
        <f t="shared" si="3"/>
        <v>10</v>
      </c>
      <c r="X18" s="24">
        <f t="shared" si="4"/>
        <v>10</v>
      </c>
      <c r="Y18" s="24">
        <f t="shared" si="4"/>
        <v>10</v>
      </c>
      <c r="Z18" s="24">
        <f t="shared" si="4"/>
        <v>10</v>
      </c>
      <c r="AA18" s="24">
        <f t="shared" si="4"/>
        <v>10</v>
      </c>
      <c r="AB18" s="24">
        <f t="shared" si="4"/>
        <v>10</v>
      </c>
      <c r="AC18" s="24">
        <f t="shared" si="4"/>
        <v>10</v>
      </c>
      <c r="AD18" s="24">
        <f t="shared" si="4"/>
        <v>10</v>
      </c>
      <c r="AE18" s="24">
        <f t="shared" si="4"/>
        <v>10</v>
      </c>
      <c r="AF18" s="24">
        <f t="shared" si="4"/>
        <v>10</v>
      </c>
      <c r="AG18" s="24">
        <f t="shared" si="4"/>
        <v>10</v>
      </c>
      <c r="AH18" s="24">
        <f t="shared" si="4"/>
        <v>10</v>
      </c>
      <c r="AI18" s="24">
        <f t="shared" si="4"/>
        <v>10</v>
      </c>
      <c r="AJ18" s="10">
        <f t="shared" si="5"/>
        <v>100</v>
      </c>
      <c r="AL18" s="22">
        <f t="shared" si="16"/>
        <v>45808</v>
      </c>
      <c r="AM18" s="26">
        <v>14</v>
      </c>
      <c r="AN18" s="11">
        <f t="shared" si="6"/>
        <v>2739.7260273972611</v>
      </c>
      <c r="AO18" s="11">
        <f t="shared" si="7"/>
        <v>2739.7260273972602</v>
      </c>
      <c r="AP18" s="11">
        <f t="shared" si="8"/>
        <v>2739.7260273972606</v>
      </c>
      <c r="AQ18" s="11">
        <f t="shared" si="9"/>
        <v>2739.7260273972606</v>
      </c>
      <c r="AR18" s="11">
        <f t="shared" si="10"/>
        <v>2739.7260273972606</v>
      </c>
      <c r="AS18" s="11">
        <f t="shared" si="11"/>
        <v>2739.7260273972602</v>
      </c>
      <c r="AT18" s="11">
        <f t="shared" si="12"/>
        <v>2739.6703596572615</v>
      </c>
      <c r="AU18" s="11">
        <f t="shared" si="13"/>
        <v>2739.7260273972597</v>
      </c>
      <c r="AV18" s="11">
        <f t="shared" si="14"/>
        <v>2739.7260273972611</v>
      </c>
      <c r="AW18" s="15">
        <f t="shared" si="15"/>
        <v>84931.50684931509</v>
      </c>
      <c r="AX18" s="15">
        <f t="shared" si="17"/>
        <v>7968.1274900398412</v>
      </c>
      <c r="AY18" s="44">
        <f t="shared" si="18"/>
        <v>6772.9083665338649</v>
      </c>
    </row>
    <row r="19" spans="1:51" x14ac:dyDescent="0.25">
      <c r="A19" t="s">
        <v>140</v>
      </c>
      <c r="D19" s="26">
        <v>15</v>
      </c>
      <c r="E19">
        <f>'Calving input'!C32/2+'Calving input'!C33/2</f>
        <v>3</v>
      </c>
      <c r="F19" s="24">
        <f t="shared" si="0"/>
        <v>3</v>
      </c>
      <c r="G19" s="24">
        <f t="shared" si="1"/>
        <v>3</v>
      </c>
      <c r="H19" s="24">
        <f t="shared" si="1"/>
        <v>3</v>
      </c>
      <c r="I19" s="24">
        <f t="shared" si="1"/>
        <v>3</v>
      </c>
      <c r="J19" s="24">
        <f t="shared" si="1"/>
        <v>3</v>
      </c>
      <c r="K19" s="24">
        <f t="shared" si="1"/>
        <v>3</v>
      </c>
      <c r="L19" s="24">
        <f t="shared" si="1"/>
        <v>3</v>
      </c>
      <c r="M19" s="24">
        <f t="shared" si="1"/>
        <v>3</v>
      </c>
      <c r="N19" s="24">
        <f t="shared" si="1"/>
        <v>3</v>
      </c>
      <c r="O19" s="24">
        <f t="shared" si="1"/>
        <v>3</v>
      </c>
      <c r="P19" s="24">
        <f t="shared" si="1"/>
        <v>3</v>
      </c>
      <c r="Q19" s="24">
        <f t="shared" si="1"/>
        <v>3</v>
      </c>
      <c r="R19" s="24">
        <f t="shared" si="1"/>
        <v>3</v>
      </c>
      <c r="S19" s="10">
        <f t="shared" si="2"/>
        <v>30</v>
      </c>
      <c r="U19" s="26">
        <v>15</v>
      </c>
      <c r="V19">
        <f>'Calving input'!D32/2+'Calving input'!D33/2</f>
        <v>10</v>
      </c>
      <c r="W19" s="24">
        <f t="shared" si="3"/>
        <v>10</v>
      </c>
      <c r="X19" s="24">
        <f t="shared" si="4"/>
        <v>10</v>
      </c>
      <c r="Y19" s="24">
        <f t="shared" si="4"/>
        <v>10</v>
      </c>
      <c r="Z19" s="24">
        <f t="shared" si="4"/>
        <v>10</v>
      </c>
      <c r="AA19" s="24">
        <f t="shared" si="4"/>
        <v>10</v>
      </c>
      <c r="AB19" s="24">
        <f t="shared" si="4"/>
        <v>10</v>
      </c>
      <c r="AC19" s="24">
        <f t="shared" si="4"/>
        <v>10</v>
      </c>
      <c r="AD19" s="24">
        <f t="shared" si="4"/>
        <v>10</v>
      </c>
      <c r="AE19" s="24">
        <f t="shared" si="4"/>
        <v>10</v>
      </c>
      <c r="AF19" s="24">
        <f t="shared" si="4"/>
        <v>10</v>
      </c>
      <c r="AG19" s="24">
        <f t="shared" si="4"/>
        <v>10</v>
      </c>
      <c r="AH19" s="24">
        <f t="shared" si="4"/>
        <v>10</v>
      </c>
      <c r="AI19" s="24">
        <f t="shared" si="4"/>
        <v>10</v>
      </c>
      <c r="AJ19" s="10">
        <f t="shared" si="5"/>
        <v>100</v>
      </c>
      <c r="AL19" s="22">
        <f t="shared" si="16"/>
        <v>45838</v>
      </c>
      <c r="AM19" s="26">
        <v>15</v>
      </c>
      <c r="AN19" s="11">
        <f t="shared" si="6"/>
        <v>2739.7260273972611</v>
      </c>
      <c r="AO19" s="11">
        <f t="shared" si="7"/>
        <v>2739.7260273972602</v>
      </c>
      <c r="AP19" s="11">
        <f t="shared" si="8"/>
        <v>2739.7260273972606</v>
      </c>
      <c r="AQ19" s="11">
        <f t="shared" si="9"/>
        <v>2739.7260273972606</v>
      </c>
      <c r="AR19" s="11">
        <f t="shared" si="10"/>
        <v>2739.7260273972606</v>
      </c>
      <c r="AS19" s="11">
        <f t="shared" si="11"/>
        <v>2739.7260273972602</v>
      </c>
      <c r="AT19" s="11">
        <f t="shared" si="12"/>
        <v>2739.6703596572615</v>
      </c>
      <c r="AU19" s="11">
        <f t="shared" si="13"/>
        <v>2739.7260273972597</v>
      </c>
      <c r="AV19" s="11">
        <f t="shared" si="14"/>
        <v>2739.7260273972611</v>
      </c>
      <c r="AW19" s="15">
        <f t="shared" si="15"/>
        <v>82191.780821917826</v>
      </c>
      <c r="AX19" s="15">
        <f t="shared" si="17"/>
        <v>7968.1274900398412</v>
      </c>
      <c r="AY19" s="44">
        <f t="shared" si="18"/>
        <v>6772.9083665338649</v>
      </c>
    </row>
    <row r="20" spans="1:51" ht="12.75" customHeight="1" x14ac:dyDescent="0.25">
      <c r="A20" t="s">
        <v>89</v>
      </c>
      <c r="B20" s="3">
        <f>IF(B11&lt;&gt;0,B11,Input!F18)</f>
        <v>7968.1274900398412</v>
      </c>
      <c r="D20" s="26">
        <v>16</v>
      </c>
      <c r="E20">
        <f>'Calving input'!C33/2+'Calving input'!C34/2</f>
        <v>3</v>
      </c>
      <c r="F20" s="24">
        <f t="shared" si="0"/>
        <v>3</v>
      </c>
      <c r="G20" s="24">
        <f t="shared" si="1"/>
        <v>3</v>
      </c>
      <c r="H20" s="24">
        <f t="shared" si="1"/>
        <v>3</v>
      </c>
      <c r="I20" s="24">
        <f t="shared" si="1"/>
        <v>3</v>
      </c>
      <c r="J20" s="24">
        <f t="shared" si="1"/>
        <v>3</v>
      </c>
      <c r="K20" s="24">
        <f t="shared" si="1"/>
        <v>3</v>
      </c>
      <c r="L20" s="24">
        <f t="shared" si="1"/>
        <v>3</v>
      </c>
      <c r="M20" s="24">
        <f t="shared" si="1"/>
        <v>3</v>
      </c>
      <c r="N20" s="24">
        <f t="shared" si="1"/>
        <v>3</v>
      </c>
      <c r="O20" s="24">
        <f t="shared" si="1"/>
        <v>3</v>
      </c>
      <c r="P20" s="24">
        <f t="shared" si="1"/>
        <v>3</v>
      </c>
      <c r="Q20" s="24">
        <f t="shared" si="1"/>
        <v>3</v>
      </c>
      <c r="R20" s="24">
        <f t="shared" si="1"/>
        <v>3</v>
      </c>
      <c r="S20" s="10">
        <f t="shared" si="2"/>
        <v>30</v>
      </c>
      <c r="U20" s="26">
        <v>16</v>
      </c>
      <c r="V20">
        <f>'Calving input'!D33/2+'Calving input'!D34/2</f>
        <v>10</v>
      </c>
      <c r="W20" s="24">
        <f t="shared" si="3"/>
        <v>10</v>
      </c>
      <c r="X20" s="24">
        <f t="shared" si="4"/>
        <v>10</v>
      </c>
      <c r="Y20" s="24">
        <f t="shared" si="4"/>
        <v>10</v>
      </c>
      <c r="Z20" s="24">
        <f t="shared" si="4"/>
        <v>10</v>
      </c>
      <c r="AA20" s="24">
        <f t="shared" si="4"/>
        <v>10</v>
      </c>
      <c r="AB20" s="24">
        <f t="shared" si="4"/>
        <v>10</v>
      </c>
      <c r="AC20" s="24">
        <f t="shared" si="4"/>
        <v>10</v>
      </c>
      <c r="AD20" s="24">
        <f t="shared" si="4"/>
        <v>10</v>
      </c>
      <c r="AE20" s="24">
        <f t="shared" si="4"/>
        <v>10</v>
      </c>
      <c r="AF20" s="24">
        <f t="shared" si="4"/>
        <v>10</v>
      </c>
      <c r="AG20" s="24">
        <f t="shared" si="4"/>
        <v>10</v>
      </c>
      <c r="AH20" s="24">
        <f t="shared" si="4"/>
        <v>10</v>
      </c>
      <c r="AI20" s="24">
        <f t="shared" si="4"/>
        <v>10</v>
      </c>
      <c r="AJ20" s="10">
        <f t="shared" si="5"/>
        <v>100</v>
      </c>
      <c r="AL20" s="22">
        <f t="shared" si="16"/>
        <v>45869</v>
      </c>
      <c r="AM20" s="26">
        <v>16</v>
      </c>
      <c r="AN20" s="11">
        <f t="shared" si="6"/>
        <v>2739.7260273972611</v>
      </c>
      <c r="AO20" s="11">
        <f t="shared" si="7"/>
        <v>2739.7260273972602</v>
      </c>
      <c r="AP20" s="11">
        <f t="shared" si="8"/>
        <v>2739.7260273972606</v>
      </c>
      <c r="AQ20" s="11">
        <f t="shared" si="9"/>
        <v>2739.7260273972606</v>
      </c>
      <c r="AR20" s="11">
        <f t="shared" si="10"/>
        <v>2739.7260273972606</v>
      </c>
      <c r="AS20" s="11">
        <f t="shared" si="11"/>
        <v>2739.7260273972602</v>
      </c>
      <c r="AT20" s="11">
        <f t="shared" si="12"/>
        <v>2739.6703596572615</v>
      </c>
      <c r="AU20" s="11">
        <f t="shared" si="13"/>
        <v>2739.7260273972597</v>
      </c>
      <c r="AV20" s="11">
        <f t="shared" si="14"/>
        <v>2739.7260273972611</v>
      </c>
      <c r="AW20" s="15">
        <f t="shared" si="15"/>
        <v>84931.50684931509</v>
      </c>
      <c r="AX20" s="15">
        <f t="shared" si="17"/>
        <v>7968.1274900398412</v>
      </c>
      <c r="AY20" s="44">
        <f t="shared" si="18"/>
        <v>6772.9083665338649</v>
      </c>
    </row>
    <row r="21" spans="1:51" x14ac:dyDescent="0.25">
      <c r="A21" t="s">
        <v>42</v>
      </c>
      <c r="B21" s="3">
        <f>IF(B12&lt;&gt;0,B12,Input!F18*Input!F15)</f>
        <v>6772.9083665338649</v>
      </c>
      <c r="D21" s="26">
        <v>17</v>
      </c>
      <c r="E21">
        <f>'Calving input'!C34/2+'Calving input'!C35/2</f>
        <v>3</v>
      </c>
      <c r="F21" s="24">
        <f t="shared" si="0"/>
        <v>3</v>
      </c>
      <c r="G21" s="24">
        <f t="shared" si="1"/>
        <v>3</v>
      </c>
      <c r="H21" s="24">
        <f t="shared" si="1"/>
        <v>3</v>
      </c>
      <c r="I21" s="24">
        <f t="shared" si="1"/>
        <v>3</v>
      </c>
      <c r="J21" s="24">
        <f t="shared" si="1"/>
        <v>3</v>
      </c>
      <c r="K21" s="24">
        <f t="shared" si="1"/>
        <v>3</v>
      </c>
      <c r="L21" s="24">
        <f t="shared" si="1"/>
        <v>3</v>
      </c>
      <c r="M21" s="24">
        <f t="shared" si="1"/>
        <v>3</v>
      </c>
      <c r="N21" s="24">
        <f t="shared" si="1"/>
        <v>3</v>
      </c>
      <c r="O21" s="24">
        <f t="shared" si="1"/>
        <v>3</v>
      </c>
      <c r="P21" s="24">
        <f t="shared" si="1"/>
        <v>3</v>
      </c>
      <c r="Q21" s="24">
        <f t="shared" si="1"/>
        <v>3</v>
      </c>
      <c r="R21" s="24">
        <f t="shared" si="1"/>
        <v>3</v>
      </c>
      <c r="S21" s="10">
        <f t="shared" si="2"/>
        <v>30</v>
      </c>
      <c r="U21" s="26">
        <v>17</v>
      </c>
      <c r="V21">
        <f>'Calving input'!D34/2+'Calving input'!D35/2</f>
        <v>10</v>
      </c>
      <c r="W21" s="24">
        <f t="shared" si="3"/>
        <v>10</v>
      </c>
      <c r="X21" s="24">
        <f t="shared" si="4"/>
        <v>10</v>
      </c>
      <c r="Y21" s="24">
        <f t="shared" si="4"/>
        <v>10</v>
      </c>
      <c r="Z21" s="24">
        <f t="shared" si="4"/>
        <v>10</v>
      </c>
      <c r="AA21" s="24">
        <f t="shared" si="4"/>
        <v>10</v>
      </c>
      <c r="AB21" s="24">
        <f t="shared" si="4"/>
        <v>10</v>
      </c>
      <c r="AC21" s="24">
        <f t="shared" si="4"/>
        <v>10</v>
      </c>
      <c r="AD21" s="24">
        <f t="shared" si="4"/>
        <v>10</v>
      </c>
      <c r="AE21" s="24">
        <f t="shared" si="4"/>
        <v>10</v>
      </c>
      <c r="AF21" s="24">
        <f t="shared" si="4"/>
        <v>10</v>
      </c>
      <c r="AG21" s="24">
        <f t="shared" si="4"/>
        <v>10</v>
      </c>
      <c r="AH21" s="24">
        <f t="shared" si="4"/>
        <v>10</v>
      </c>
      <c r="AI21" s="24">
        <f t="shared" si="4"/>
        <v>10</v>
      </c>
      <c r="AJ21" s="10">
        <f t="shared" si="5"/>
        <v>100</v>
      </c>
      <c r="AL21" s="22">
        <f t="shared" si="16"/>
        <v>45900</v>
      </c>
      <c r="AM21" s="26">
        <v>17</v>
      </c>
      <c r="AN21" s="11">
        <f t="shared" si="6"/>
        <v>2739.7260273972611</v>
      </c>
      <c r="AO21" s="11">
        <f t="shared" si="7"/>
        <v>2739.7260273972602</v>
      </c>
      <c r="AP21" s="11">
        <f t="shared" si="8"/>
        <v>2739.7260273972606</v>
      </c>
      <c r="AQ21" s="11">
        <f t="shared" si="9"/>
        <v>2739.7260273972606</v>
      </c>
      <c r="AR21" s="11">
        <f t="shared" si="10"/>
        <v>2739.7260273972606</v>
      </c>
      <c r="AS21" s="11">
        <f t="shared" si="11"/>
        <v>2739.7260273972602</v>
      </c>
      <c r="AT21" s="11">
        <f t="shared" si="12"/>
        <v>2739.6703596572615</v>
      </c>
      <c r="AU21" s="11">
        <f t="shared" si="13"/>
        <v>2739.7260273972597</v>
      </c>
      <c r="AV21" s="11">
        <f t="shared" si="14"/>
        <v>2739.7260273972611</v>
      </c>
      <c r="AW21" s="15">
        <f t="shared" si="15"/>
        <v>84931.50684931509</v>
      </c>
      <c r="AX21" s="15">
        <f t="shared" si="17"/>
        <v>7968.1274900398412</v>
      </c>
      <c r="AY21" s="44">
        <f t="shared" si="18"/>
        <v>6772.9083665338649</v>
      </c>
    </row>
    <row r="22" spans="1:51" x14ac:dyDescent="0.25">
      <c r="D22" s="26">
        <v>18</v>
      </c>
      <c r="E22">
        <f>'Calving input'!C35/2+'Calving input'!C36/2</f>
        <v>3</v>
      </c>
      <c r="F22" s="24">
        <f t="shared" si="0"/>
        <v>3</v>
      </c>
      <c r="G22" s="24">
        <f t="shared" ref="G22:R22" si="20">F21</f>
        <v>3</v>
      </c>
      <c r="H22" s="24">
        <f t="shared" si="20"/>
        <v>3</v>
      </c>
      <c r="I22" s="24">
        <f t="shared" si="20"/>
        <v>3</v>
      </c>
      <c r="J22" s="24">
        <f t="shared" si="20"/>
        <v>3</v>
      </c>
      <c r="K22" s="24">
        <f t="shared" si="20"/>
        <v>3</v>
      </c>
      <c r="L22" s="24">
        <f t="shared" si="20"/>
        <v>3</v>
      </c>
      <c r="M22" s="24">
        <f t="shared" si="20"/>
        <v>3</v>
      </c>
      <c r="N22" s="24">
        <f t="shared" si="20"/>
        <v>3</v>
      </c>
      <c r="O22" s="24">
        <f t="shared" si="20"/>
        <v>3</v>
      </c>
      <c r="P22" s="24">
        <f t="shared" si="20"/>
        <v>3</v>
      </c>
      <c r="Q22" s="24">
        <f t="shared" si="20"/>
        <v>3</v>
      </c>
      <c r="R22" s="24">
        <f t="shared" si="20"/>
        <v>3</v>
      </c>
      <c r="S22" s="10">
        <f t="shared" si="2"/>
        <v>30</v>
      </c>
      <c r="U22" s="26">
        <v>18</v>
      </c>
      <c r="V22">
        <f>'Calving input'!D35/2+'Calving input'!D36/2</f>
        <v>10</v>
      </c>
      <c r="W22" s="24">
        <f t="shared" si="3"/>
        <v>10</v>
      </c>
      <c r="X22" s="24">
        <f t="shared" ref="X22:AI22" si="21">W21</f>
        <v>10</v>
      </c>
      <c r="Y22" s="24">
        <f t="shared" si="21"/>
        <v>10</v>
      </c>
      <c r="Z22" s="24">
        <f t="shared" si="21"/>
        <v>10</v>
      </c>
      <c r="AA22" s="24">
        <f t="shared" si="21"/>
        <v>10</v>
      </c>
      <c r="AB22" s="24">
        <f t="shared" si="21"/>
        <v>10</v>
      </c>
      <c r="AC22" s="24">
        <f t="shared" si="21"/>
        <v>10</v>
      </c>
      <c r="AD22" s="24">
        <f t="shared" si="21"/>
        <v>10</v>
      </c>
      <c r="AE22" s="24">
        <f t="shared" si="21"/>
        <v>10</v>
      </c>
      <c r="AF22" s="24">
        <f t="shared" si="21"/>
        <v>10</v>
      </c>
      <c r="AG22" s="24">
        <f t="shared" si="21"/>
        <v>10</v>
      </c>
      <c r="AH22" s="24">
        <f t="shared" si="21"/>
        <v>10</v>
      </c>
      <c r="AI22" s="24">
        <f t="shared" si="21"/>
        <v>10</v>
      </c>
      <c r="AJ22" s="10">
        <f t="shared" si="5"/>
        <v>100</v>
      </c>
      <c r="AL22" s="22">
        <f t="shared" si="16"/>
        <v>45930</v>
      </c>
      <c r="AM22" s="26">
        <v>18</v>
      </c>
      <c r="AN22" s="11">
        <f t="shared" si="6"/>
        <v>2739.7260273972611</v>
      </c>
      <c r="AO22" s="11">
        <f t="shared" si="7"/>
        <v>2739.7260273972602</v>
      </c>
      <c r="AP22" s="11">
        <f t="shared" si="8"/>
        <v>2739.7260273972606</v>
      </c>
      <c r="AQ22" s="11">
        <f t="shared" si="9"/>
        <v>2739.7260273972606</v>
      </c>
      <c r="AR22" s="11">
        <f t="shared" si="10"/>
        <v>2739.7260273972606</v>
      </c>
      <c r="AS22" s="11">
        <f t="shared" si="11"/>
        <v>2739.7260273972602</v>
      </c>
      <c r="AT22" s="11">
        <f t="shared" si="12"/>
        <v>2739.6703596572615</v>
      </c>
      <c r="AU22" s="11">
        <f t="shared" si="13"/>
        <v>2739.7260273972597</v>
      </c>
      <c r="AV22" s="11">
        <f t="shared" si="14"/>
        <v>2739.7260273972611</v>
      </c>
      <c r="AW22" s="15">
        <f t="shared" si="15"/>
        <v>82191.780821917826</v>
      </c>
      <c r="AX22" s="15">
        <f t="shared" si="17"/>
        <v>7968.1274900398412</v>
      </c>
      <c r="AY22" s="44">
        <f t="shared" si="18"/>
        <v>6772.9083665338649</v>
      </c>
    </row>
    <row r="23" spans="1:51" x14ac:dyDescent="0.25">
      <c r="D23" s="26">
        <v>19</v>
      </c>
      <c r="E23">
        <f>'Calving input'!C36/2+'Calving input'!C37/2</f>
        <v>3</v>
      </c>
      <c r="F23" s="24">
        <f t="shared" ref="F23:R40" si="22">E22</f>
        <v>3</v>
      </c>
      <c r="G23" s="24">
        <f t="shared" si="22"/>
        <v>3</v>
      </c>
      <c r="H23" s="24">
        <f t="shared" si="22"/>
        <v>3</v>
      </c>
      <c r="I23" s="24">
        <f t="shared" si="22"/>
        <v>3</v>
      </c>
      <c r="J23" s="24">
        <f t="shared" si="22"/>
        <v>3</v>
      </c>
      <c r="K23" s="24">
        <f t="shared" si="22"/>
        <v>3</v>
      </c>
      <c r="L23" s="24">
        <f t="shared" si="22"/>
        <v>3</v>
      </c>
      <c r="M23" s="24">
        <f t="shared" si="22"/>
        <v>3</v>
      </c>
      <c r="N23" s="24">
        <f t="shared" si="22"/>
        <v>3</v>
      </c>
      <c r="O23" s="24">
        <f t="shared" si="22"/>
        <v>3</v>
      </c>
      <c r="P23" s="24">
        <f t="shared" si="22"/>
        <v>3</v>
      </c>
      <c r="Q23" s="24">
        <f t="shared" si="22"/>
        <v>3</v>
      </c>
      <c r="R23" s="24">
        <f t="shared" si="22"/>
        <v>3</v>
      </c>
      <c r="S23" s="10">
        <f t="shared" si="2"/>
        <v>30</v>
      </c>
      <c r="U23" s="26">
        <v>19</v>
      </c>
      <c r="V23">
        <f>'Calving input'!D36/2+'Calving input'!D37/2</f>
        <v>10</v>
      </c>
      <c r="W23" s="24">
        <f t="shared" ref="W23:AI40" si="23">V22</f>
        <v>10</v>
      </c>
      <c r="X23" s="24">
        <f t="shared" si="23"/>
        <v>10</v>
      </c>
      <c r="Y23" s="24">
        <f t="shared" si="23"/>
        <v>10</v>
      </c>
      <c r="Z23" s="24">
        <f t="shared" si="23"/>
        <v>10</v>
      </c>
      <c r="AA23" s="24">
        <f t="shared" si="23"/>
        <v>10</v>
      </c>
      <c r="AB23" s="24">
        <f t="shared" si="23"/>
        <v>10</v>
      </c>
      <c r="AC23" s="24">
        <f t="shared" si="23"/>
        <v>10</v>
      </c>
      <c r="AD23" s="24">
        <f t="shared" si="23"/>
        <v>10</v>
      </c>
      <c r="AE23" s="24">
        <f t="shared" si="23"/>
        <v>10</v>
      </c>
      <c r="AF23" s="24">
        <f t="shared" si="23"/>
        <v>10</v>
      </c>
      <c r="AG23" s="24">
        <f t="shared" si="23"/>
        <v>10</v>
      </c>
      <c r="AH23" s="24">
        <f t="shared" si="23"/>
        <v>10</v>
      </c>
      <c r="AI23" s="24">
        <f t="shared" si="23"/>
        <v>10</v>
      </c>
      <c r="AJ23" s="10">
        <f t="shared" si="5"/>
        <v>100</v>
      </c>
      <c r="AL23" s="22">
        <f t="shared" si="16"/>
        <v>45961</v>
      </c>
      <c r="AM23" s="26">
        <v>19</v>
      </c>
      <c r="AN23" s="11">
        <f t="shared" si="6"/>
        <v>2739.7260273972611</v>
      </c>
      <c r="AO23" s="11">
        <f t="shared" si="7"/>
        <v>2739.7260273972602</v>
      </c>
      <c r="AP23" s="11">
        <f t="shared" si="8"/>
        <v>2739.7260273972606</v>
      </c>
      <c r="AQ23" s="11">
        <f t="shared" si="9"/>
        <v>2739.7260273972606</v>
      </c>
      <c r="AR23" s="11">
        <f t="shared" si="10"/>
        <v>2739.7260273972606</v>
      </c>
      <c r="AS23" s="11">
        <f t="shared" si="11"/>
        <v>2739.7260273972602</v>
      </c>
      <c r="AT23" s="11">
        <f t="shared" si="12"/>
        <v>2739.6703596572615</v>
      </c>
      <c r="AU23" s="11">
        <f t="shared" si="13"/>
        <v>2739.7260273972597</v>
      </c>
      <c r="AV23" s="11">
        <f t="shared" si="14"/>
        <v>2739.7260273972611</v>
      </c>
      <c r="AW23" s="15">
        <f t="shared" si="15"/>
        <v>84931.50684931509</v>
      </c>
      <c r="AX23" s="15">
        <f t="shared" si="17"/>
        <v>7968.1274900398412</v>
      </c>
      <c r="AY23" s="44">
        <f t="shared" si="18"/>
        <v>6772.9083665338649</v>
      </c>
    </row>
    <row r="24" spans="1:51" x14ac:dyDescent="0.25">
      <c r="D24" s="26">
        <v>20</v>
      </c>
      <c r="E24">
        <f>'Calving input'!C37/2+'Calving input'!C38/2</f>
        <v>3</v>
      </c>
      <c r="F24" s="24">
        <f t="shared" si="22"/>
        <v>3</v>
      </c>
      <c r="G24" s="24">
        <f t="shared" si="22"/>
        <v>3</v>
      </c>
      <c r="H24" s="24">
        <f t="shared" si="22"/>
        <v>3</v>
      </c>
      <c r="I24" s="24">
        <f t="shared" si="22"/>
        <v>3</v>
      </c>
      <c r="J24" s="24">
        <f t="shared" si="22"/>
        <v>3</v>
      </c>
      <c r="K24" s="24">
        <f t="shared" si="22"/>
        <v>3</v>
      </c>
      <c r="L24" s="24">
        <f t="shared" si="22"/>
        <v>3</v>
      </c>
      <c r="M24" s="24">
        <f t="shared" si="22"/>
        <v>3</v>
      </c>
      <c r="N24" s="24">
        <f t="shared" si="22"/>
        <v>3</v>
      </c>
      <c r="O24" s="24">
        <f t="shared" si="22"/>
        <v>3</v>
      </c>
      <c r="P24" s="24">
        <f t="shared" si="22"/>
        <v>3</v>
      </c>
      <c r="Q24" s="24">
        <f t="shared" si="22"/>
        <v>3</v>
      </c>
      <c r="R24" s="24">
        <f t="shared" si="22"/>
        <v>3</v>
      </c>
      <c r="S24" s="10">
        <f t="shared" si="2"/>
        <v>30</v>
      </c>
      <c r="U24" s="26">
        <v>20</v>
      </c>
      <c r="V24">
        <f>'Calving input'!D37/2+'Calving input'!D38/2</f>
        <v>10</v>
      </c>
      <c r="W24" s="24">
        <f t="shared" si="23"/>
        <v>10</v>
      </c>
      <c r="X24" s="24">
        <f t="shared" si="23"/>
        <v>10</v>
      </c>
      <c r="Y24" s="24">
        <f t="shared" si="23"/>
        <v>10</v>
      </c>
      <c r="Z24" s="24">
        <f t="shared" si="23"/>
        <v>10</v>
      </c>
      <c r="AA24" s="24">
        <f t="shared" si="23"/>
        <v>10</v>
      </c>
      <c r="AB24" s="24">
        <f t="shared" si="23"/>
        <v>10</v>
      </c>
      <c r="AC24" s="24">
        <f t="shared" si="23"/>
        <v>10</v>
      </c>
      <c r="AD24" s="24">
        <f t="shared" si="23"/>
        <v>10</v>
      </c>
      <c r="AE24" s="24">
        <f t="shared" si="23"/>
        <v>10</v>
      </c>
      <c r="AF24" s="24">
        <f t="shared" si="23"/>
        <v>10</v>
      </c>
      <c r="AG24" s="24">
        <f t="shared" si="23"/>
        <v>10</v>
      </c>
      <c r="AH24" s="24">
        <f t="shared" si="23"/>
        <v>10</v>
      </c>
      <c r="AI24" s="24">
        <f t="shared" si="23"/>
        <v>10</v>
      </c>
      <c r="AJ24" s="10">
        <f t="shared" si="5"/>
        <v>100</v>
      </c>
      <c r="AL24" s="22">
        <f t="shared" si="16"/>
        <v>45991</v>
      </c>
      <c r="AM24" s="26">
        <v>20</v>
      </c>
      <c r="AN24" s="11">
        <f t="shared" si="6"/>
        <v>2739.7260273972611</v>
      </c>
      <c r="AO24" s="11">
        <f t="shared" si="7"/>
        <v>2739.7260273972602</v>
      </c>
      <c r="AP24" s="11">
        <f t="shared" si="8"/>
        <v>2739.7260273972606</v>
      </c>
      <c r="AQ24" s="11">
        <f t="shared" si="9"/>
        <v>2739.7260273972606</v>
      </c>
      <c r="AR24" s="11">
        <f t="shared" si="10"/>
        <v>2739.7260273972606</v>
      </c>
      <c r="AS24" s="11">
        <f t="shared" si="11"/>
        <v>2739.7260273972602</v>
      </c>
      <c r="AT24" s="11">
        <f t="shared" si="12"/>
        <v>2739.6703596572615</v>
      </c>
      <c r="AU24" s="11">
        <f t="shared" si="13"/>
        <v>2739.7260273972597</v>
      </c>
      <c r="AV24" s="11">
        <f t="shared" si="14"/>
        <v>2739.7260273972611</v>
      </c>
      <c r="AW24" s="15">
        <f t="shared" si="15"/>
        <v>82191.780821917826</v>
      </c>
      <c r="AX24" s="15">
        <f t="shared" si="17"/>
        <v>7968.1274900398412</v>
      </c>
      <c r="AY24" s="44">
        <f t="shared" si="18"/>
        <v>6772.9083665338649</v>
      </c>
    </row>
    <row r="25" spans="1:51" x14ac:dyDescent="0.25">
      <c r="D25" s="26">
        <v>21</v>
      </c>
      <c r="E25">
        <f>'Calving input'!C38/2+'Calving input'!C39/2</f>
        <v>3</v>
      </c>
      <c r="F25" s="24">
        <f t="shared" si="22"/>
        <v>3</v>
      </c>
      <c r="G25" s="24">
        <f t="shared" si="22"/>
        <v>3</v>
      </c>
      <c r="H25" s="24">
        <f t="shared" si="22"/>
        <v>3</v>
      </c>
      <c r="I25" s="24">
        <f t="shared" si="22"/>
        <v>3</v>
      </c>
      <c r="J25" s="24">
        <f t="shared" si="22"/>
        <v>3</v>
      </c>
      <c r="K25" s="24">
        <f t="shared" si="22"/>
        <v>3</v>
      </c>
      <c r="L25" s="24">
        <f t="shared" si="22"/>
        <v>3</v>
      </c>
      <c r="M25" s="24">
        <f t="shared" si="22"/>
        <v>3</v>
      </c>
      <c r="N25" s="24">
        <f t="shared" si="22"/>
        <v>3</v>
      </c>
      <c r="O25" s="24">
        <f t="shared" si="22"/>
        <v>3</v>
      </c>
      <c r="P25" s="24">
        <f t="shared" si="22"/>
        <v>3</v>
      </c>
      <c r="Q25" s="24">
        <f t="shared" si="22"/>
        <v>3</v>
      </c>
      <c r="R25" s="24">
        <f t="shared" si="22"/>
        <v>3</v>
      </c>
      <c r="S25" s="10">
        <f t="shared" si="2"/>
        <v>30</v>
      </c>
      <c r="U25" s="26">
        <v>21</v>
      </c>
      <c r="V25">
        <f>'Calving input'!D38/2+'Calving input'!D39/2</f>
        <v>10</v>
      </c>
      <c r="W25" s="24">
        <f t="shared" si="23"/>
        <v>10</v>
      </c>
      <c r="X25" s="24">
        <f t="shared" si="23"/>
        <v>10</v>
      </c>
      <c r="Y25" s="24">
        <f t="shared" si="23"/>
        <v>10</v>
      </c>
      <c r="Z25" s="24">
        <f t="shared" si="23"/>
        <v>10</v>
      </c>
      <c r="AA25" s="24">
        <f t="shared" si="23"/>
        <v>10</v>
      </c>
      <c r="AB25" s="24">
        <f t="shared" si="23"/>
        <v>10</v>
      </c>
      <c r="AC25" s="24">
        <f t="shared" si="23"/>
        <v>10</v>
      </c>
      <c r="AD25" s="24">
        <f t="shared" si="23"/>
        <v>10</v>
      </c>
      <c r="AE25" s="24">
        <f t="shared" si="23"/>
        <v>10</v>
      </c>
      <c r="AF25" s="24">
        <f t="shared" si="23"/>
        <v>10</v>
      </c>
      <c r="AG25" s="24">
        <f t="shared" si="23"/>
        <v>10</v>
      </c>
      <c r="AH25" s="24">
        <f t="shared" si="23"/>
        <v>10</v>
      </c>
      <c r="AI25" s="24">
        <f t="shared" si="23"/>
        <v>10</v>
      </c>
      <c r="AJ25" s="10">
        <f t="shared" si="5"/>
        <v>100</v>
      </c>
      <c r="AL25" s="22">
        <f t="shared" si="16"/>
        <v>46022</v>
      </c>
      <c r="AM25" s="26">
        <v>21</v>
      </c>
      <c r="AN25" s="11">
        <f t="shared" si="6"/>
        <v>2739.7260273972611</v>
      </c>
      <c r="AO25" s="11">
        <f t="shared" si="7"/>
        <v>2739.7260273972602</v>
      </c>
      <c r="AP25" s="11">
        <f t="shared" si="8"/>
        <v>2739.7260273972606</v>
      </c>
      <c r="AQ25" s="11">
        <f t="shared" si="9"/>
        <v>2739.7260273972606</v>
      </c>
      <c r="AR25" s="11">
        <f t="shared" si="10"/>
        <v>2739.7260273972606</v>
      </c>
      <c r="AS25" s="11">
        <f t="shared" si="11"/>
        <v>2739.7260273972602</v>
      </c>
      <c r="AT25" s="11">
        <f t="shared" si="12"/>
        <v>2739.6703596572615</v>
      </c>
      <c r="AU25" s="11">
        <f t="shared" si="13"/>
        <v>2739.7260273972597</v>
      </c>
      <c r="AV25" s="11">
        <f t="shared" si="14"/>
        <v>2739.7260273972611</v>
      </c>
      <c r="AW25" s="15">
        <f t="shared" si="15"/>
        <v>84931.50684931509</v>
      </c>
      <c r="AX25" s="15">
        <f t="shared" si="17"/>
        <v>7968.1274900398412</v>
      </c>
      <c r="AY25" s="44">
        <f t="shared" si="18"/>
        <v>6772.9083665338649</v>
      </c>
    </row>
    <row r="26" spans="1:51" x14ac:dyDescent="0.25">
      <c r="D26" s="26">
        <v>22</v>
      </c>
      <c r="E26">
        <f>'Calving input'!C39/2+'Calving input'!C40/2</f>
        <v>3</v>
      </c>
      <c r="F26" s="24">
        <f t="shared" si="22"/>
        <v>3</v>
      </c>
      <c r="G26" s="24">
        <f t="shared" si="22"/>
        <v>3</v>
      </c>
      <c r="H26" s="24">
        <f t="shared" si="22"/>
        <v>3</v>
      </c>
      <c r="I26" s="24">
        <f t="shared" si="22"/>
        <v>3</v>
      </c>
      <c r="J26" s="24">
        <f t="shared" si="22"/>
        <v>3</v>
      </c>
      <c r="K26" s="24">
        <f t="shared" si="22"/>
        <v>3</v>
      </c>
      <c r="L26" s="24">
        <f t="shared" si="22"/>
        <v>3</v>
      </c>
      <c r="M26" s="24">
        <f t="shared" si="22"/>
        <v>3</v>
      </c>
      <c r="N26" s="24">
        <f t="shared" si="22"/>
        <v>3</v>
      </c>
      <c r="O26" s="24">
        <f t="shared" si="22"/>
        <v>3</v>
      </c>
      <c r="P26" s="24">
        <f t="shared" si="22"/>
        <v>3</v>
      </c>
      <c r="Q26" s="24">
        <f t="shared" si="22"/>
        <v>3</v>
      </c>
      <c r="R26" s="24">
        <f t="shared" si="22"/>
        <v>3</v>
      </c>
      <c r="S26" s="10">
        <f t="shared" si="2"/>
        <v>30</v>
      </c>
      <c r="U26" s="26">
        <v>22</v>
      </c>
      <c r="V26">
        <f>'Calving input'!D39/2+'Calving input'!D40/2</f>
        <v>10</v>
      </c>
      <c r="W26" s="24">
        <f t="shared" si="23"/>
        <v>10</v>
      </c>
      <c r="X26" s="24">
        <f t="shared" si="23"/>
        <v>10</v>
      </c>
      <c r="Y26" s="24">
        <f t="shared" si="23"/>
        <v>10</v>
      </c>
      <c r="Z26" s="24">
        <f t="shared" si="23"/>
        <v>10</v>
      </c>
      <c r="AA26" s="24">
        <f t="shared" si="23"/>
        <v>10</v>
      </c>
      <c r="AB26" s="24">
        <f t="shared" si="23"/>
        <v>10</v>
      </c>
      <c r="AC26" s="24">
        <f t="shared" si="23"/>
        <v>10</v>
      </c>
      <c r="AD26" s="24">
        <f t="shared" si="23"/>
        <v>10</v>
      </c>
      <c r="AE26" s="24">
        <f t="shared" si="23"/>
        <v>10</v>
      </c>
      <c r="AF26" s="24">
        <f t="shared" si="23"/>
        <v>10</v>
      </c>
      <c r="AG26" s="24">
        <f t="shared" si="23"/>
        <v>10</v>
      </c>
      <c r="AH26" s="24">
        <f t="shared" si="23"/>
        <v>10</v>
      </c>
      <c r="AI26" s="24">
        <f t="shared" si="23"/>
        <v>10</v>
      </c>
      <c r="AJ26" s="10">
        <f t="shared" si="5"/>
        <v>100</v>
      </c>
      <c r="AL26" s="22">
        <f t="shared" si="16"/>
        <v>46053</v>
      </c>
      <c r="AM26" s="26">
        <v>22</v>
      </c>
      <c r="AN26" s="11">
        <f t="shared" si="6"/>
        <v>2739.7260273972611</v>
      </c>
      <c r="AO26" s="11">
        <f t="shared" si="7"/>
        <v>2739.7260273972602</v>
      </c>
      <c r="AP26" s="11">
        <f t="shared" si="8"/>
        <v>2739.7260273972606</v>
      </c>
      <c r="AQ26" s="11">
        <f t="shared" si="9"/>
        <v>2739.7260273972606</v>
      </c>
      <c r="AR26" s="11">
        <f t="shared" si="10"/>
        <v>2739.7260273972606</v>
      </c>
      <c r="AS26" s="11">
        <f t="shared" si="11"/>
        <v>2739.7260273972602</v>
      </c>
      <c r="AT26" s="11">
        <f t="shared" si="12"/>
        <v>2739.6703596572615</v>
      </c>
      <c r="AU26" s="11">
        <f t="shared" si="13"/>
        <v>2739.7260273972597</v>
      </c>
      <c r="AV26" s="11">
        <f t="shared" si="14"/>
        <v>2739.7260273972611</v>
      </c>
      <c r="AW26" s="15">
        <f t="shared" si="15"/>
        <v>84931.50684931509</v>
      </c>
      <c r="AX26" s="15">
        <f t="shared" si="17"/>
        <v>7968.1274900398412</v>
      </c>
      <c r="AY26" s="44">
        <f t="shared" si="18"/>
        <v>6772.9083665338649</v>
      </c>
    </row>
    <row r="27" spans="1:51" x14ac:dyDescent="0.25">
      <c r="D27" s="26">
        <v>23</v>
      </c>
      <c r="E27">
        <f>'Calving input'!C40/2+'Calving input'!C41/2</f>
        <v>3</v>
      </c>
      <c r="F27" s="24">
        <f t="shared" si="22"/>
        <v>3</v>
      </c>
      <c r="G27" s="24">
        <f t="shared" si="22"/>
        <v>3</v>
      </c>
      <c r="H27" s="24">
        <f t="shared" si="22"/>
        <v>3</v>
      </c>
      <c r="I27" s="24">
        <f t="shared" si="22"/>
        <v>3</v>
      </c>
      <c r="J27" s="24">
        <f t="shared" si="22"/>
        <v>3</v>
      </c>
      <c r="K27" s="24">
        <f t="shared" si="22"/>
        <v>3</v>
      </c>
      <c r="L27" s="24">
        <f t="shared" si="22"/>
        <v>3</v>
      </c>
      <c r="M27" s="24">
        <f t="shared" si="22"/>
        <v>3</v>
      </c>
      <c r="N27" s="24">
        <f t="shared" si="22"/>
        <v>3</v>
      </c>
      <c r="O27" s="24">
        <f t="shared" si="22"/>
        <v>3</v>
      </c>
      <c r="P27" s="24">
        <f t="shared" si="22"/>
        <v>3</v>
      </c>
      <c r="Q27" s="24">
        <f t="shared" si="22"/>
        <v>3</v>
      </c>
      <c r="R27" s="24">
        <f t="shared" si="22"/>
        <v>3</v>
      </c>
      <c r="S27" s="10">
        <f t="shared" si="2"/>
        <v>30</v>
      </c>
      <c r="U27" s="26">
        <v>23</v>
      </c>
      <c r="V27">
        <f>'Calving input'!D40/2+'Calving input'!D41/2</f>
        <v>10</v>
      </c>
      <c r="W27" s="24">
        <f t="shared" si="23"/>
        <v>10</v>
      </c>
      <c r="X27" s="24">
        <f t="shared" si="23"/>
        <v>10</v>
      </c>
      <c r="Y27" s="24">
        <f t="shared" si="23"/>
        <v>10</v>
      </c>
      <c r="Z27" s="24">
        <f t="shared" si="23"/>
        <v>10</v>
      </c>
      <c r="AA27" s="24">
        <f t="shared" si="23"/>
        <v>10</v>
      </c>
      <c r="AB27" s="24">
        <f t="shared" si="23"/>
        <v>10</v>
      </c>
      <c r="AC27" s="24">
        <f t="shared" si="23"/>
        <v>10</v>
      </c>
      <c r="AD27" s="24">
        <f t="shared" si="23"/>
        <v>10</v>
      </c>
      <c r="AE27" s="24">
        <f t="shared" si="23"/>
        <v>10</v>
      </c>
      <c r="AF27" s="24">
        <f t="shared" si="23"/>
        <v>10</v>
      </c>
      <c r="AG27" s="24">
        <f t="shared" si="23"/>
        <v>10</v>
      </c>
      <c r="AH27" s="24">
        <f t="shared" si="23"/>
        <v>10</v>
      </c>
      <c r="AI27" s="24">
        <f t="shared" si="23"/>
        <v>10</v>
      </c>
      <c r="AJ27" s="10">
        <f t="shared" si="5"/>
        <v>100</v>
      </c>
      <c r="AL27" s="22">
        <f t="shared" si="16"/>
        <v>46081</v>
      </c>
      <c r="AM27" s="26">
        <v>23</v>
      </c>
      <c r="AN27" s="11">
        <f t="shared" si="6"/>
        <v>2739.7260273972611</v>
      </c>
      <c r="AO27" s="11">
        <f t="shared" si="7"/>
        <v>2739.7260273972602</v>
      </c>
      <c r="AP27" s="11">
        <f t="shared" si="8"/>
        <v>2739.7260273972606</v>
      </c>
      <c r="AQ27" s="11">
        <f t="shared" si="9"/>
        <v>2739.7260273972606</v>
      </c>
      <c r="AR27" s="11">
        <f t="shared" si="10"/>
        <v>2739.7260273972606</v>
      </c>
      <c r="AS27" s="11">
        <f t="shared" si="11"/>
        <v>2739.7260273972602</v>
      </c>
      <c r="AT27" s="11">
        <f t="shared" si="12"/>
        <v>2739.6703596572615</v>
      </c>
      <c r="AU27" s="11">
        <f t="shared" si="13"/>
        <v>2739.7260273972597</v>
      </c>
      <c r="AV27" s="11">
        <f t="shared" si="14"/>
        <v>2739.7260273972611</v>
      </c>
      <c r="AW27" s="15">
        <f t="shared" si="15"/>
        <v>76712.328767123312</v>
      </c>
      <c r="AX27" s="15">
        <f t="shared" si="17"/>
        <v>7968.1274900398412</v>
      </c>
      <c r="AY27" s="44">
        <f t="shared" si="18"/>
        <v>6772.9083665338649</v>
      </c>
    </row>
    <row r="28" spans="1:51" x14ac:dyDescent="0.25">
      <c r="D28" s="26">
        <v>24</v>
      </c>
      <c r="E28">
        <f>'Calving input'!C41/2+'Calving input'!C42/2</f>
        <v>3</v>
      </c>
      <c r="F28" s="24">
        <f t="shared" si="22"/>
        <v>3</v>
      </c>
      <c r="G28" s="24">
        <f t="shared" si="22"/>
        <v>3</v>
      </c>
      <c r="H28" s="24">
        <f t="shared" si="22"/>
        <v>3</v>
      </c>
      <c r="I28" s="24">
        <f t="shared" si="22"/>
        <v>3</v>
      </c>
      <c r="J28" s="24">
        <f t="shared" si="22"/>
        <v>3</v>
      </c>
      <c r="K28" s="24">
        <f t="shared" si="22"/>
        <v>3</v>
      </c>
      <c r="L28" s="24">
        <f t="shared" si="22"/>
        <v>3</v>
      </c>
      <c r="M28" s="24">
        <f t="shared" si="22"/>
        <v>3</v>
      </c>
      <c r="N28" s="24">
        <f t="shared" si="22"/>
        <v>3</v>
      </c>
      <c r="O28" s="24">
        <f t="shared" si="22"/>
        <v>3</v>
      </c>
      <c r="P28" s="24">
        <f t="shared" si="22"/>
        <v>3</v>
      </c>
      <c r="Q28" s="24">
        <f t="shared" si="22"/>
        <v>3</v>
      </c>
      <c r="R28" s="24">
        <f t="shared" si="22"/>
        <v>3</v>
      </c>
      <c r="S28" s="10">
        <f t="shared" si="2"/>
        <v>30</v>
      </c>
      <c r="U28" s="26">
        <v>24</v>
      </c>
      <c r="V28">
        <f>'Calving input'!D41/2+'Calving input'!D42/2</f>
        <v>10</v>
      </c>
      <c r="W28" s="24">
        <f t="shared" si="23"/>
        <v>10</v>
      </c>
      <c r="X28" s="24">
        <f t="shared" si="23"/>
        <v>10</v>
      </c>
      <c r="Y28" s="24">
        <f t="shared" si="23"/>
        <v>10</v>
      </c>
      <c r="Z28" s="24">
        <f t="shared" si="23"/>
        <v>10</v>
      </c>
      <c r="AA28" s="24">
        <f t="shared" si="23"/>
        <v>10</v>
      </c>
      <c r="AB28" s="24">
        <f t="shared" si="23"/>
        <v>10</v>
      </c>
      <c r="AC28" s="24">
        <f t="shared" si="23"/>
        <v>10</v>
      </c>
      <c r="AD28" s="24">
        <f t="shared" si="23"/>
        <v>10</v>
      </c>
      <c r="AE28" s="24">
        <f t="shared" si="23"/>
        <v>10</v>
      </c>
      <c r="AF28" s="24">
        <f t="shared" si="23"/>
        <v>10</v>
      </c>
      <c r="AG28" s="24">
        <f t="shared" si="23"/>
        <v>10</v>
      </c>
      <c r="AH28" s="24">
        <f t="shared" si="23"/>
        <v>10</v>
      </c>
      <c r="AI28" s="24">
        <f t="shared" si="23"/>
        <v>10</v>
      </c>
      <c r="AJ28" s="10">
        <f t="shared" si="5"/>
        <v>100</v>
      </c>
      <c r="AL28" s="22">
        <f t="shared" si="16"/>
        <v>46112</v>
      </c>
      <c r="AM28" s="26">
        <v>24</v>
      </c>
      <c r="AN28" s="11">
        <f t="shared" si="6"/>
        <v>2739.7260273972611</v>
      </c>
      <c r="AO28" s="11">
        <f t="shared" si="7"/>
        <v>2739.7260273972602</v>
      </c>
      <c r="AP28" s="11">
        <f t="shared" si="8"/>
        <v>2739.7260273972606</v>
      </c>
      <c r="AQ28" s="11">
        <f t="shared" si="9"/>
        <v>2739.7260273972606</v>
      </c>
      <c r="AR28" s="11">
        <f t="shared" si="10"/>
        <v>2739.7260273972606</v>
      </c>
      <c r="AS28" s="11">
        <f t="shared" si="11"/>
        <v>2739.7260273972602</v>
      </c>
      <c r="AT28" s="11">
        <f t="shared" si="12"/>
        <v>2739.6703596572615</v>
      </c>
      <c r="AU28" s="11">
        <f t="shared" si="13"/>
        <v>2739.7260273972597</v>
      </c>
      <c r="AV28" s="11">
        <f t="shared" si="14"/>
        <v>2739.7260273972611</v>
      </c>
      <c r="AW28" s="15">
        <f t="shared" si="15"/>
        <v>84931.50684931509</v>
      </c>
      <c r="AX28" s="15">
        <f t="shared" si="17"/>
        <v>7968.1274900398412</v>
      </c>
      <c r="AY28" s="44">
        <f t="shared" si="18"/>
        <v>6772.9083665338649</v>
      </c>
    </row>
    <row r="29" spans="1:51" x14ac:dyDescent="0.25">
      <c r="D29" s="26">
        <v>25</v>
      </c>
      <c r="E29">
        <f>'Calving input'!C42/2+'Calving input'!C44/2</f>
        <v>3</v>
      </c>
      <c r="F29" s="24">
        <f t="shared" si="22"/>
        <v>3</v>
      </c>
      <c r="G29" s="24">
        <f t="shared" si="22"/>
        <v>3</v>
      </c>
      <c r="H29" s="24">
        <f t="shared" si="22"/>
        <v>3</v>
      </c>
      <c r="I29" s="24">
        <f t="shared" si="22"/>
        <v>3</v>
      </c>
      <c r="J29" s="24">
        <f t="shared" si="22"/>
        <v>3</v>
      </c>
      <c r="K29" s="24">
        <f t="shared" si="22"/>
        <v>3</v>
      </c>
      <c r="L29" s="24">
        <f t="shared" si="22"/>
        <v>3</v>
      </c>
      <c r="M29" s="24">
        <f t="shared" si="22"/>
        <v>3</v>
      </c>
      <c r="N29" s="24">
        <f t="shared" si="22"/>
        <v>3</v>
      </c>
      <c r="O29" s="24">
        <f t="shared" si="22"/>
        <v>3</v>
      </c>
      <c r="P29" s="24">
        <f t="shared" si="22"/>
        <v>3</v>
      </c>
      <c r="Q29" s="24">
        <f t="shared" si="22"/>
        <v>3</v>
      </c>
      <c r="R29" s="24">
        <f t="shared" si="22"/>
        <v>3</v>
      </c>
      <c r="S29" s="10">
        <f t="shared" si="2"/>
        <v>30</v>
      </c>
      <c r="U29" s="26">
        <v>25</v>
      </c>
      <c r="V29">
        <f>'Calving input'!D42/2+'Calving input'!D44/2</f>
        <v>10</v>
      </c>
      <c r="W29" s="24">
        <f t="shared" si="23"/>
        <v>10</v>
      </c>
      <c r="X29" s="24">
        <f t="shared" si="23"/>
        <v>10</v>
      </c>
      <c r="Y29" s="24">
        <f t="shared" si="23"/>
        <v>10</v>
      </c>
      <c r="Z29" s="24">
        <f t="shared" si="23"/>
        <v>10</v>
      </c>
      <c r="AA29" s="24">
        <f t="shared" si="23"/>
        <v>10</v>
      </c>
      <c r="AB29" s="24">
        <f t="shared" si="23"/>
        <v>10</v>
      </c>
      <c r="AC29" s="24">
        <f t="shared" si="23"/>
        <v>10</v>
      </c>
      <c r="AD29" s="24">
        <f t="shared" si="23"/>
        <v>10</v>
      </c>
      <c r="AE29" s="24">
        <f t="shared" si="23"/>
        <v>10</v>
      </c>
      <c r="AF29" s="24">
        <f t="shared" si="23"/>
        <v>10</v>
      </c>
      <c r="AG29" s="24">
        <f t="shared" si="23"/>
        <v>10</v>
      </c>
      <c r="AH29" s="24">
        <f t="shared" si="23"/>
        <v>10</v>
      </c>
      <c r="AI29" s="24">
        <f t="shared" si="23"/>
        <v>10</v>
      </c>
      <c r="AJ29" s="10">
        <f t="shared" si="5"/>
        <v>100</v>
      </c>
      <c r="AL29" s="22">
        <f t="shared" si="16"/>
        <v>46142</v>
      </c>
      <c r="AM29" s="26">
        <v>25</v>
      </c>
      <c r="AN29" s="11">
        <f t="shared" si="6"/>
        <v>2739.7260273972611</v>
      </c>
      <c r="AO29" s="11">
        <f t="shared" si="7"/>
        <v>2739.7260273972602</v>
      </c>
      <c r="AP29" s="11">
        <f t="shared" si="8"/>
        <v>2739.7260273972606</v>
      </c>
      <c r="AQ29" s="11">
        <f t="shared" si="9"/>
        <v>2739.7260273972606</v>
      </c>
      <c r="AR29" s="11">
        <f t="shared" si="10"/>
        <v>2739.7260273972606</v>
      </c>
      <c r="AS29" s="11">
        <f t="shared" si="11"/>
        <v>2739.7260273972602</v>
      </c>
      <c r="AT29" s="11">
        <f t="shared" si="12"/>
        <v>2739.6703596572615</v>
      </c>
      <c r="AU29" s="11">
        <f t="shared" si="13"/>
        <v>2739.7260273972597</v>
      </c>
      <c r="AV29" s="11">
        <f t="shared" si="14"/>
        <v>2739.7260273972611</v>
      </c>
      <c r="AW29" s="15">
        <f t="shared" si="15"/>
        <v>82191.780821917826</v>
      </c>
      <c r="AX29" s="15">
        <f t="shared" si="17"/>
        <v>7968.1274900398412</v>
      </c>
      <c r="AY29" s="44">
        <f t="shared" si="18"/>
        <v>6772.9083665338649</v>
      </c>
    </row>
    <row r="30" spans="1:51" x14ac:dyDescent="0.25">
      <c r="D30" s="26">
        <v>26</v>
      </c>
      <c r="E30">
        <f>'Calving input'!C44/2+'Calving input'!C45/2</f>
        <v>3</v>
      </c>
      <c r="F30" s="24">
        <f t="shared" si="22"/>
        <v>3</v>
      </c>
      <c r="G30" s="24">
        <f t="shared" si="22"/>
        <v>3</v>
      </c>
      <c r="H30" s="24">
        <f t="shared" si="22"/>
        <v>3</v>
      </c>
      <c r="I30" s="24">
        <f t="shared" si="22"/>
        <v>3</v>
      </c>
      <c r="J30" s="24">
        <f t="shared" si="22"/>
        <v>3</v>
      </c>
      <c r="K30" s="24">
        <f t="shared" si="22"/>
        <v>3</v>
      </c>
      <c r="L30" s="24">
        <f t="shared" si="22"/>
        <v>3</v>
      </c>
      <c r="M30" s="24">
        <f t="shared" si="22"/>
        <v>3</v>
      </c>
      <c r="N30" s="24">
        <f t="shared" si="22"/>
        <v>3</v>
      </c>
      <c r="O30" s="24">
        <f t="shared" si="22"/>
        <v>3</v>
      </c>
      <c r="P30" s="24">
        <f t="shared" si="22"/>
        <v>3</v>
      </c>
      <c r="Q30" s="24">
        <f t="shared" si="22"/>
        <v>3</v>
      </c>
      <c r="R30" s="24">
        <f t="shared" si="22"/>
        <v>3</v>
      </c>
      <c r="S30" s="10">
        <f t="shared" si="2"/>
        <v>30</v>
      </c>
      <c r="U30" s="26">
        <v>26</v>
      </c>
      <c r="V30">
        <f>'Calving input'!D44/2+'Calving input'!D45/2</f>
        <v>10</v>
      </c>
      <c r="W30" s="24">
        <f t="shared" si="23"/>
        <v>10</v>
      </c>
      <c r="X30" s="24">
        <f t="shared" si="23"/>
        <v>10</v>
      </c>
      <c r="Y30" s="24">
        <f t="shared" si="23"/>
        <v>10</v>
      </c>
      <c r="Z30" s="24">
        <f t="shared" si="23"/>
        <v>10</v>
      </c>
      <c r="AA30" s="24">
        <f t="shared" si="23"/>
        <v>10</v>
      </c>
      <c r="AB30" s="24">
        <f t="shared" si="23"/>
        <v>10</v>
      </c>
      <c r="AC30" s="24">
        <f t="shared" si="23"/>
        <v>10</v>
      </c>
      <c r="AD30" s="24">
        <f t="shared" si="23"/>
        <v>10</v>
      </c>
      <c r="AE30" s="24">
        <f t="shared" si="23"/>
        <v>10</v>
      </c>
      <c r="AF30" s="24">
        <f t="shared" si="23"/>
        <v>10</v>
      </c>
      <c r="AG30" s="24">
        <f t="shared" si="23"/>
        <v>10</v>
      </c>
      <c r="AH30" s="24">
        <f t="shared" si="23"/>
        <v>10</v>
      </c>
      <c r="AI30" s="24">
        <f t="shared" si="23"/>
        <v>10</v>
      </c>
      <c r="AJ30" s="10">
        <f t="shared" si="5"/>
        <v>100</v>
      </c>
      <c r="AL30" s="22">
        <f t="shared" si="16"/>
        <v>46173</v>
      </c>
      <c r="AM30" s="26">
        <v>26</v>
      </c>
      <c r="AN30" s="11">
        <f t="shared" si="6"/>
        <v>2739.7260273972611</v>
      </c>
      <c r="AO30" s="11">
        <f t="shared" si="7"/>
        <v>2739.7260273972602</v>
      </c>
      <c r="AP30" s="11">
        <f t="shared" si="8"/>
        <v>2739.7260273972606</v>
      </c>
      <c r="AQ30" s="11">
        <f t="shared" si="9"/>
        <v>2739.7260273972606</v>
      </c>
      <c r="AR30" s="11">
        <f t="shared" si="10"/>
        <v>2739.7260273972606</v>
      </c>
      <c r="AS30" s="11">
        <f t="shared" si="11"/>
        <v>2739.7260273972602</v>
      </c>
      <c r="AT30" s="11">
        <f t="shared" si="12"/>
        <v>2739.6703596572615</v>
      </c>
      <c r="AU30" s="11">
        <f t="shared" si="13"/>
        <v>2739.7260273972597</v>
      </c>
      <c r="AV30" s="11">
        <f t="shared" si="14"/>
        <v>2739.7260273972611</v>
      </c>
      <c r="AW30" s="15">
        <f t="shared" si="15"/>
        <v>84931.50684931509</v>
      </c>
      <c r="AX30" s="15">
        <f t="shared" si="17"/>
        <v>7968.1274900398412</v>
      </c>
      <c r="AY30" s="44">
        <f t="shared" si="18"/>
        <v>6772.9083665338649</v>
      </c>
    </row>
    <row r="31" spans="1:51" x14ac:dyDescent="0.25">
      <c r="D31" s="26">
        <v>27</v>
      </c>
      <c r="E31">
        <f>'Calving input'!C45/2+'Calving input'!C46/2</f>
        <v>3</v>
      </c>
      <c r="F31" s="24">
        <f t="shared" si="22"/>
        <v>3</v>
      </c>
      <c r="G31" s="24">
        <f t="shared" si="22"/>
        <v>3</v>
      </c>
      <c r="H31" s="24">
        <f t="shared" si="22"/>
        <v>3</v>
      </c>
      <c r="I31" s="24">
        <f t="shared" si="22"/>
        <v>3</v>
      </c>
      <c r="J31" s="24">
        <f t="shared" si="22"/>
        <v>3</v>
      </c>
      <c r="K31" s="24">
        <f t="shared" si="22"/>
        <v>3</v>
      </c>
      <c r="L31" s="24">
        <f t="shared" si="22"/>
        <v>3</v>
      </c>
      <c r="M31" s="24">
        <f t="shared" si="22"/>
        <v>3</v>
      </c>
      <c r="N31" s="24">
        <f t="shared" si="22"/>
        <v>3</v>
      </c>
      <c r="O31" s="24">
        <f t="shared" si="22"/>
        <v>3</v>
      </c>
      <c r="P31" s="24">
        <f t="shared" si="22"/>
        <v>3</v>
      </c>
      <c r="Q31" s="24">
        <f t="shared" si="22"/>
        <v>3</v>
      </c>
      <c r="R31" s="24">
        <f t="shared" si="22"/>
        <v>3</v>
      </c>
      <c r="S31" s="10">
        <f t="shared" si="2"/>
        <v>30</v>
      </c>
      <c r="U31" s="26">
        <v>27</v>
      </c>
      <c r="V31">
        <f>'Calving input'!D45/2+'Calving input'!D46/2</f>
        <v>10</v>
      </c>
      <c r="W31" s="24">
        <f t="shared" si="23"/>
        <v>10</v>
      </c>
      <c r="X31" s="24">
        <f t="shared" si="23"/>
        <v>10</v>
      </c>
      <c r="Y31" s="24">
        <f t="shared" si="23"/>
        <v>10</v>
      </c>
      <c r="Z31" s="24">
        <f t="shared" si="23"/>
        <v>10</v>
      </c>
      <c r="AA31" s="24">
        <f t="shared" si="23"/>
        <v>10</v>
      </c>
      <c r="AB31" s="24">
        <f t="shared" si="23"/>
        <v>10</v>
      </c>
      <c r="AC31" s="24">
        <f t="shared" si="23"/>
        <v>10</v>
      </c>
      <c r="AD31" s="24">
        <f t="shared" si="23"/>
        <v>10</v>
      </c>
      <c r="AE31" s="24">
        <f t="shared" si="23"/>
        <v>10</v>
      </c>
      <c r="AF31" s="24">
        <f t="shared" si="23"/>
        <v>10</v>
      </c>
      <c r="AG31" s="24">
        <f t="shared" si="23"/>
        <v>10</v>
      </c>
      <c r="AH31" s="24">
        <f t="shared" si="23"/>
        <v>10</v>
      </c>
      <c r="AI31" s="24">
        <f t="shared" si="23"/>
        <v>10</v>
      </c>
      <c r="AJ31" s="10">
        <f t="shared" si="5"/>
        <v>100</v>
      </c>
      <c r="AL31" s="22">
        <f t="shared" si="16"/>
        <v>46203</v>
      </c>
      <c r="AM31" s="26">
        <v>27</v>
      </c>
      <c r="AN31" s="11">
        <f t="shared" si="6"/>
        <v>2739.7260273972611</v>
      </c>
      <c r="AO31" s="11">
        <f t="shared" si="7"/>
        <v>2739.7260273972602</v>
      </c>
      <c r="AP31" s="11">
        <f t="shared" si="8"/>
        <v>2739.7260273972606</v>
      </c>
      <c r="AQ31" s="11">
        <f t="shared" si="9"/>
        <v>2739.7260273972606</v>
      </c>
      <c r="AR31" s="11">
        <f t="shared" si="10"/>
        <v>2739.7260273972606</v>
      </c>
      <c r="AS31" s="11">
        <f t="shared" si="11"/>
        <v>2739.7260273972602</v>
      </c>
      <c r="AT31" s="11">
        <f t="shared" si="12"/>
        <v>2739.6703596572615</v>
      </c>
      <c r="AU31" s="11">
        <f t="shared" si="13"/>
        <v>2739.7260273972597</v>
      </c>
      <c r="AV31" s="11">
        <f t="shared" si="14"/>
        <v>2739.7260273972611</v>
      </c>
      <c r="AW31" s="15">
        <f t="shared" si="15"/>
        <v>82191.780821917826</v>
      </c>
      <c r="AX31" s="15">
        <f t="shared" si="17"/>
        <v>7968.1274900398412</v>
      </c>
      <c r="AY31" s="44">
        <f t="shared" si="18"/>
        <v>6772.9083665338649</v>
      </c>
    </row>
    <row r="32" spans="1:51" x14ac:dyDescent="0.25">
      <c r="D32" s="26">
        <v>28</v>
      </c>
      <c r="E32">
        <f>'Calving input'!C46/2+'Calving input'!C47/2</f>
        <v>3</v>
      </c>
      <c r="F32" s="24">
        <f t="shared" si="22"/>
        <v>3</v>
      </c>
      <c r="G32" s="24">
        <f t="shared" si="22"/>
        <v>3</v>
      </c>
      <c r="H32" s="24">
        <f t="shared" si="22"/>
        <v>3</v>
      </c>
      <c r="I32" s="24">
        <f t="shared" si="22"/>
        <v>3</v>
      </c>
      <c r="J32" s="24">
        <f t="shared" si="22"/>
        <v>3</v>
      </c>
      <c r="K32" s="24">
        <f t="shared" si="22"/>
        <v>3</v>
      </c>
      <c r="L32" s="24">
        <f t="shared" si="22"/>
        <v>3</v>
      </c>
      <c r="M32" s="24">
        <f t="shared" si="22"/>
        <v>3</v>
      </c>
      <c r="N32" s="24">
        <f t="shared" si="22"/>
        <v>3</v>
      </c>
      <c r="O32" s="24">
        <f t="shared" si="22"/>
        <v>3</v>
      </c>
      <c r="P32" s="24">
        <f t="shared" si="22"/>
        <v>3</v>
      </c>
      <c r="Q32" s="24">
        <f t="shared" si="22"/>
        <v>3</v>
      </c>
      <c r="R32" s="24">
        <f t="shared" si="22"/>
        <v>3</v>
      </c>
      <c r="S32" s="10">
        <f t="shared" si="2"/>
        <v>30</v>
      </c>
      <c r="U32" s="26">
        <v>28</v>
      </c>
      <c r="V32">
        <f>'Calving input'!D46/2+'Calving input'!D47/2</f>
        <v>10</v>
      </c>
      <c r="W32" s="24">
        <f t="shared" si="23"/>
        <v>10</v>
      </c>
      <c r="X32" s="24">
        <f t="shared" si="23"/>
        <v>10</v>
      </c>
      <c r="Y32" s="24">
        <f t="shared" si="23"/>
        <v>10</v>
      </c>
      <c r="Z32" s="24">
        <f t="shared" si="23"/>
        <v>10</v>
      </c>
      <c r="AA32" s="24">
        <f t="shared" si="23"/>
        <v>10</v>
      </c>
      <c r="AB32" s="24">
        <f t="shared" si="23"/>
        <v>10</v>
      </c>
      <c r="AC32" s="24">
        <f t="shared" si="23"/>
        <v>10</v>
      </c>
      <c r="AD32" s="24">
        <f t="shared" si="23"/>
        <v>10</v>
      </c>
      <c r="AE32" s="24">
        <f t="shared" si="23"/>
        <v>10</v>
      </c>
      <c r="AF32" s="24">
        <f t="shared" si="23"/>
        <v>10</v>
      </c>
      <c r="AG32" s="24">
        <f t="shared" si="23"/>
        <v>10</v>
      </c>
      <c r="AH32" s="24">
        <f t="shared" si="23"/>
        <v>10</v>
      </c>
      <c r="AI32" s="24">
        <f t="shared" si="23"/>
        <v>10</v>
      </c>
      <c r="AJ32" s="10">
        <f t="shared" si="5"/>
        <v>100</v>
      </c>
      <c r="AL32" s="22">
        <f t="shared" si="16"/>
        <v>46234</v>
      </c>
      <c r="AM32" s="26">
        <v>28</v>
      </c>
      <c r="AN32" s="11">
        <f t="shared" si="6"/>
        <v>2739.7260273972611</v>
      </c>
      <c r="AO32" s="11">
        <f t="shared" si="7"/>
        <v>2739.7260273972602</v>
      </c>
      <c r="AP32" s="11">
        <f t="shared" si="8"/>
        <v>2739.7260273972606</v>
      </c>
      <c r="AQ32" s="11">
        <f t="shared" si="9"/>
        <v>2739.7260273972606</v>
      </c>
      <c r="AR32" s="11">
        <f t="shared" si="10"/>
        <v>2739.7260273972606</v>
      </c>
      <c r="AS32" s="11">
        <f t="shared" si="11"/>
        <v>2739.7260273972602</v>
      </c>
      <c r="AT32" s="11">
        <f t="shared" si="12"/>
        <v>2739.6703596572615</v>
      </c>
      <c r="AU32" s="11">
        <f t="shared" si="13"/>
        <v>2739.7260273972597</v>
      </c>
      <c r="AV32" s="11">
        <f t="shared" si="14"/>
        <v>2739.7260273972611</v>
      </c>
      <c r="AW32" s="15">
        <f t="shared" si="15"/>
        <v>84931.50684931509</v>
      </c>
      <c r="AX32" s="15">
        <f t="shared" si="17"/>
        <v>7968.1274900398412</v>
      </c>
      <c r="AY32" s="44">
        <f t="shared" si="18"/>
        <v>6772.9083665338649</v>
      </c>
    </row>
    <row r="33" spans="2:51" x14ac:dyDescent="0.25">
      <c r="D33" s="26">
        <v>29</v>
      </c>
      <c r="E33">
        <f>'Calving input'!C47/2+'Calving input'!C48/2</f>
        <v>3</v>
      </c>
      <c r="F33" s="24">
        <f t="shared" si="22"/>
        <v>3</v>
      </c>
      <c r="G33" s="24">
        <f t="shared" si="22"/>
        <v>3</v>
      </c>
      <c r="H33" s="24">
        <f t="shared" si="22"/>
        <v>3</v>
      </c>
      <c r="I33" s="24">
        <f t="shared" si="22"/>
        <v>3</v>
      </c>
      <c r="J33" s="24">
        <f t="shared" si="22"/>
        <v>3</v>
      </c>
      <c r="K33" s="24">
        <f t="shared" si="22"/>
        <v>3</v>
      </c>
      <c r="L33" s="24">
        <f t="shared" si="22"/>
        <v>3</v>
      </c>
      <c r="M33" s="24">
        <f t="shared" si="22"/>
        <v>3</v>
      </c>
      <c r="N33" s="24">
        <f t="shared" si="22"/>
        <v>3</v>
      </c>
      <c r="O33" s="24">
        <f t="shared" si="22"/>
        <v>3</v>
      </c>
      <c r="P33" s="24">
        <f t="shared" si="22"/>
        <v>3</v>
      </c>
      <c r="Q33" s="24">
        <f t="shared" si="22"/>
        <v>3</v>
      </c>
      <c r="R33" s="24">
        <f t="shared" si="22"/>
        <v>3</v>
      </c>
      <c r="S33" s="10">
        <f t="shared" si="2"/>
        <v>30</v>
      </c>
      <c r="U33" s="26">
        <v>29</v>
      </c>
      <c r="V33">
        <f>'Calving input'!D47/2+'Calving input'!D48/2</f>
        <v>10</v>
      </c>
      <c r="W33" s="24">
        <f t="shared" si="23"/>
        <v>10</v>
      </c>
      <c r="X33" s="24">
        <f t="shared" si="23"/>
        <v>10</v>
      </c>
      <c r="Y33" s="24">
        <f t="shared" si="23"/>
        <v>10</v>
      </c>
      <c r="Z33" s="24">
        <f t="shared" si="23"/>
        <v>10</v>
      </c>
      <c r="AA33" s="24">
        <f t="shared" si="23"/>
        <v>10</v>
      </c>
      <c r="AB33" s="24">
        <f t="shared" si="23"/>
        <v>10</v>
      </c>
      <c r="AC33" s="24">
        <f t="shared" si="23"/>
        <v>10</v>
      </c>
      <c r="AD33" s="24">
        <f t="shared" si="23"/>
        <v>10</v>
      </c>
      <c r="AE33" s="24">
        <f t="shared" si="23"/>
        <v>10</v>
      </c>
      <c r="AF33" s="24">
        <f t="shared" si="23"/>
        <v>10</v>
      </c>
      <c r="AG33" s="24">
        <f t="shared" si="23"/>
        <v>10</v>
      </c>
      <c r="AH33" s="24">
        <f t="shared" si="23"/>
        <v>10</v>
      </c>
      <c r="AI33" s="24">
        <f t="shared" si="23"/>
        <v>10</v>
      </c>
      <c r="AJ33" s="10">
        <f t="shared" si="5"/>
        <v>100</v>
      </c>
      <c r="AL33" s="22">
        <f t="shared" si="16"/>
        <v>46265</v>
      </c>
      <c r="AM33" s="26">
        <v>29</v>
      </c>
      <c r="AN33" s="11">
        <f t="shared" si="6"/>
        <v>2739.7260273972611</v>
      </c>
      <c r="AO33" s="11">
        <f t="shared" si="7"/>
        <v>2739.7260273972602</v>
      </c>
      <c r="AP33" s="11">
        <f t="shared" si="8"/>
        <v>2739.7260273972606</v>
      </c>
      <c r="AQ33" s="11">
        <f t="shared" si="9"/>
        <v>2739.7260273972606</v>
      </c>
      <c r="AR33" s="11">
        <f t="shared" si="10"/>
        <v>2739.7260273972606</v>
      </c>
      <c r="AS33" s="11">
        <f t="shared" si="11"/>
        <v>2739.7260273972602</v>
      </c>
      <c r="AT33" s="11">
        <f t="shared" si="12"/>
        <v>2739.6703596572615</v>
      </c>
      <c r="AU33" s="11">
        <f t="shared" si="13"/>
        <v>2739.7260273972597</v>
      </c>
      <c r="AV33" s="11">
        <f t="shared" si="14"/>
        <v>2739.7260273972611</v>
      </c>
      <c r="AW33" s="15">
        <f t="shared" si="15"/>
        <v>84931.50684931509</v>
      </c>
      <c r="AX33" s="15">
        <f t="shared" si="17"/>
        <v>7968.1274900398412</v>
      </c>
      <c r="AY33" s="44">
        <f t="shared" si="18"/>
        <v>6772.9083665338649</v>
      </c>
    </row>
    <row r="34" spans="2:51" x14ac:dyDescent="0.25">
      <c r="D34" s="26">
        <v>30</v>
      </c>
      <c r="E34">
        <f>'Calving input'!C48/2+'Calving input'!C49/2</f>
        <v>3</v>
      </c>
      <c r="F34" s="24">
        <f t="shared" si="22"/>
        <v>3</v>
      </c>
      <c r="G34" s="24">
        <f t="shared" si="22"/>
        <v>3</v>
      </c>
      <c r="H34" s="24">
        <f t="shared" si="22"/>
        <v>3</v>
      </c>
      <c r="I34" s="24">
        <f t="shared" si="22"/>
        <v>3</v>
      </c>
      <c r="J34" s="24">
        <f t="shared" si="22"/>
        <v>3</v>
      </c>
      <c r="K34" s="24">
        <f t="shared" si="22"/>
        <v>3</v>
      </c>
      <c r="L34" s="24">
        <f t="shared" si="22"/>
        <v>3</v>
      </c>
      <c r="M34" s="24">
        <f t="shared" si="22"/>
        <v>3</v>
      </c>
      <c r="N34" s="24">
        <f t="shared" si="22"/>
        <v>3</v>
      </c>
      <c r="O34" s="24">
        <f t="shared" si="22"/>
        <v>3</v>
      </c>
      <c r="P34" s="24">
        <f t="shared" si="22"/>
        <v>3</v>
      </c>
      <c r="Q34" s="24">
        <f t="shared" si="22"/>
        <v>3</v>
      </c>
      <c r="R34" s="24">
        <f t="shared" si="22"/>
        <v>3</v>
      </c>
      <c r="S34" s="10">
        <f t="shared" si="2"/>
        <v>30</v>
      </c>
      <c r="U34" s="26">
        <v>30</v>
      </c>
      <c r="V34">
        <f>'Calving input'!D48/2+'Calving input'!D49/2</f>
        <v>10</v>
      </c>
      <c r="W34" s="24">
        <f t="shared" si="23"/>
        <v>10</v>
      </c>
      <c r="X34" s="24">
        <f t="shared" si="23"/>
        <v>10</v>
      </c>
      <c r="Y34" s="24">
        <f t="shared" si="23"/>
        <v>10</v>
      </c>
      <c r="Z34" s="24">
        <f t="shared" si="23"/>
        <v>10</v>
      </c>
      <c r="AA34" s="24">
        <f t="shared" si="23"/>
        <v>10</v>
      </c>
      <c r="AB34" s="24">
        <f t="shared" si="23"/>
        <v>10</v>
      </c>
      <c r="AC34" s="24">
        <f t="shared" si="23"/>
        <v>10</v>
      </c>
      <c r="AD34" s="24">
        <f t="shared" si="23"/>
        <v>10</v>
      </c>
      <c r="AE34" s="24">
        <f t="shared" si="23"/>
        <v>10</v>
      </c>
      <c r="AF34" s="24">
        <f t="shared" si="23"/>
        <v>10</v>
      </c>
      <c r="AG34" s="24">
        <f t="shared" si="23"/>
        <v>10</v>
      </c>
      <c r="AH34" s="24">
        <f t="shared" si="23"/>
        <v>10</v>
      </c>
      <c r="AI34" s="24">
        <f t="shared" si="23"/>
        <v>10</v>
      </c>
      <c r="AJ34" s="10">
        <f t="shared" si="5"/>
        <v>100</v>
      </c>
      <c r="AL34" s="22">
        <f t="shared" si="16"/>
        <v>46295</v>
      </c>
      <c r="AM34" s="26">
        <v>30</v>
      </c>
      <c r="AN34" s="11">
        <f t="shared" si="6"/>
        <v>2739.7260273972611</v>
      </c>
      <c r="AO34" s="11">
        <f t="shared" si="7"/>
        <v>2739.7260273972602</v>
      </c>
      <c r="AP34" s="11">
        <f t="shared" si="8"/>
        <v>2739.7260273972606</v>
      </c>
      <c r="AQ34" s="11">
        <f t="shared" si="9"/>
        <v>2739.7260273972606</v>
      </c>
      <c r="AR34" s="11">
        <f t="shared" si="10"/>
        <v>2739.7260273972606</v>
      </c>
      <c r="AS34" s="11">
        <f t="shared" si="11"/>
        <v>2739.7260273972602</v>
      </c>
      <c r="AT34" s="11">
        <f t="shared" si="12"/>
        <v>2739.6703596572615</v>
      </c>
      <c r="AU34" s="11">
        <f t="shared" si="13"/>
        <v>2739.7260273972597</v>
      </c>
      <c r="AV34" s="11">
        <f t="shared" si="14"/>
        <v>2739.7260273972611</v>
      </c>
      <c r="AW34" s="15">
        <f t="shared" si="15"/>
        <v>82191.780821917826</v>
      </c>
      <c r="AX34" s="15">
        <f t="shared" si="17"/>
        <v>7968.1274900398412</v>
      </c>
      <c r="AY34" s="44">
        <f t="shared" si="18"/>
        <v>6772.9083665338649</v>
      </c>
    </row>
    <row r="35" spans="2:51" x14ac:dyDescent="0.25">
      <c r="D35" s="26">
        <v>31</v>
      </c>
      <c r="E35">
        <f>'Calving input'!C49/2+'Calving input'!C50/2</f>
        <v>3</v>
      </c>
      <c r="F35" s="24">
        <f t="shared" si="22"/>
        <v>3</v>
      </c>
      <c r="G35" s="24">
        <f t="shared" si="22"/>
        <v>3</v>
      </c>
      <c r="H35" s="24">
        <f t="shared" si="22"/>
        <v>3</v>
      </c>
      <c r="I35" s="24">
        <f t="shared" si="22"/>
        <v>3</v>
      </c>
      <c r="J35" s="24">
        <f t="shared" si="22"/>
        <v>3</v>
      </c>
      <c r="K35" s="24">
        <f t="shared" si="22"/>
        <v>3</v>
      </c>
      <c r="L35" s="24">
        <f t="shared" si="22"/>
        <v>3</v>
      </c>
      <c r="M35" s="24">
        <f t="shared" si="22"/>
        <v>3</v>
      </c>
      <c r="N35" s="24">
        <f t="shared" si="22"/>
        <v>3</v>
      </c>
      <c r="O35" s="24">
        <f t="shared" si="22"/>
        <v>3</v>
      </c>
      <c r="P35" s="24">
        <f t="shared" si="22"/>
        <v>3</v>
      </c>
      <c r="Q35" s="24">
        <f t="shared" si="22"/>
        <v>3</v>
      </c>
      <c r="R35" s="24">
        <f t="shared" si="22"/>
        <v>3</v>
      </c>
      <c r="S35" s="10">
        <f t="shared" si="2"/>
        <v>30</v>
      </c>
      <c r="U35" s="26">
        <v>31</v>
      </c>
      <c r="V35">
        <f>'Calving input'!D49/2+'Calving input'!D50/2</f>
        <v>10</v>
      </c>
      <c r="W35" s="24">
        <f t="shared" si="23"/>
        <v>10</v>
      </c>
      <c r="X35" s="24">
        <f t="shared" si="23"/>
        <v>10</v>
      </c>
      <c r="Y35" s="24">
        <f t="shared" si="23"/>
        <v>10</v>
      </c>
      <c r="Z35" s="24">
        <f t="shared" si="23"/>
        <v>10</v>
      </c>
      <c r="AA35" s="24">
        <f t="shared" si="23"/>
        <v>10</v>
      </c>
      <c r="AB35" s="24">
        <f t="shared" si="23"/>
        <v>10</v>
      </c>
      <c r="AC35" s="24">
        <f t="shared" si="23"/>
        <v>10</v>
      </c>
      <c r="AD35" s="24">
        <f t="shared" si="23"/>
        <v>10</v>
      </c>
      <c r="AE35" s="24">
        <f t="shared" si="23"/>
        <v>10</v>
      </c>
      <c r="AF35" s="24">
        <f t="shared" si="23"/>
        <v>10</v>
      </c>
      <c r="AG35" s="24">
        <f t="shared" si="23"/>
        <v>10</v>
      </c>
      <c r="AH35" s="24">
        <f t="shared" si="23"/>
        <v>10</v>
      </c>
      <c r="AI35" s="24">
        <f t="shared" si="23"/>
        <v>10</v>
      </c>
      <c r="AJ35" s="10">
        <f t="shared" si="5"/>
        <v>100</v>
      </c>
      <c r="AL35" s="22">
        <f t="shared" si="16"/>
        <v>46326</v>
      </c>
      <c r="AM35" s="26">
        <v>31</v>
      </c>
      <c r="AN35" s="11">
        <f t="shared" si="6"/>
        <v>2739.7260273972611</v>
      </c>
      <c r="AO35" s="11">
        <f t="shared" si="7"/>
        <v>2739.7260273972602</v>
      </c>
      <c r="AP35" s="11">
        <f t="shared" si="8"/>
        <v>2739.7260273972606</v>
      </c>
      <c r="AQ35" s="11">
        <f t="shared" si="9"/>
        <v>2739.7260273972606</v>
      </c>
      <c r="AR35" s="11">
        <f t="shared" si="10"/>
        <v>2739.7260273972606</v>
      </c>
      <c r="AS35" s="11">
        <f t="shared" si="11"/>
        <v>2739.7260273972602</v>
      </c>
      <c r="AT35" s="11">
        <f t="shared" si="12"/>
        <v>2739.6703596572615</v>
      </c>
      <c r="AU35" s="11">
        <f t="shared" si="13"/>
        <v>2739.7260273972597</v>
      </c>
      <c r="AV35" s="11">
        <f t="shared" si="14"/>
        <v>2739.7260273972611</v>
      </c>
      <c r="AW35" s="15">
        <f t="shared" si="15"/>
        <v>84931.50684931509</v>
      </c>
      <c r="AX35" s="15">
        <f t="shared" si="17"/>
        <v>7968.1274900398412</v>
      </c>
      <c r="AY35" s="44">
        <f t="shared" si="18"/>
        <v>6772.9083665338649</v>
      </c>
    </row>
    <row r="36" spans="2:51" x14ac:dyDescent="0.25">
      <c r="D36" s="26">
        <v>32</v>
      </c>
      <c r="E36">
        <f>'Calving input'!C50/2+'Calving input'!C51/2</f>
        <v>3</v>
      </c>
      <c r="F36" s="24">
        <f t="shared" si="22"/>
        <v>3</v>
      </c>
      <c r="G36" s="24">
        <f t="shared" si="22"/>
        <v>3</v>
      </c>
      <c r="H36" s="24">
        <f t="shared" si="22"/>
        <v>3</v>
      </c>
      <c r="I36" s="24">
        <f t="shared" si="22"/>
        <v>3</v>
      </c>
      <c r="J36" s="24">
        <f t="shared" si="22"/>
        <v>3</v>
      </c>
      <c r="K36" s="24">
        <f t="shared" si="22"/>
        <v>3</v>
      </c>
      <c r="L36" s="24">
        <f t="shared" si="22"/>
        <v>3</v>
      </c>
      <c r="M36" s="24">
        <f t="shared" si="22"/>
        <v>3</v>
      </c>
      <c r="N36" s="24">
        <f t="shared" si="22"/>
        <v>3</v>
      </c>
      <c r="O36" s="24">
        <f t="shared" si="22"/>
        <v>3</v>
      </c>
      <c r="P36" s="24">
        <f t="shared" si="22"/>
        <v>3</v>
      </c>
      <c r="Q36" s="24">
        <f t="shared" si="22"/>
        <v>3</v>
      </c>
      <c r="R36" s="24">
        <f t="shared" si="22"/>
        <v>3</v>
      </c>
      <c r="S36" s="10">
        <f t="shared" si="2"/>
        <v>30</v>
      </c>
      <c r="U36" s="26">
        <v>32</v>
      </c>
      <c r="V36">
        <f>'Calving input'!D50/2+'Calving input'!D51/2</f>
        <v>10</v>
      </c>
      <c r="W36" s="24">
        <f t="shared" si="23"/>
        <v>10</v>
      </c>
      <c r="X36" s="24">
        <f t="shared" si="23"/>
        <v>10</v>
      </c>
      <c r="Y36" s="24">
        <f t="shared" si="23"/>
        <v>10</v>
      </c>
      <c r="Z36" s="24">
        <f t="shared" si="23"/>
        <v>10</v>
      </c>
      <c r="AA36" s="24">
        <f t="shared" si="23"/>
        <v>10</v>
      </c>
      <c r="AB36" s="24">
        <f t="shared" si="23"/>
        <v>10</v>
      </c>
      <c r="AC36" s="24">
        <f t="shared" si="23"/>
        <v>10</v>
      </c>
      <c r="AD36" s="24">
        <f t="shared" si="23"/>
        <v>10</v>
      </c>
      <c r="AE36" s="24">
        <f t="shared" si="23"/>
        <v>10</v>
      </c>
      <c r="AF36" s="24">
        <f t="shared" si="23"/>
        <v>10</v>
      </c>
      <c r="AG36" s="24">
        <f t="shared" si="23"/>
        <v>10</v>
      </c>
      <c r="AH36" s="24">
        <f t="shared" si="23"/>
        <v>10</v>
      </c>
      <c r="AI36" s="24">
        <f t="shared" si="23"/>
        <v>10</v>
      </c>
      <c r="AJ36" s="10">
        <f t="shared" si="5"/>
        <v>100</v>
      </c>
      <c r="AL36" s="22">
        <f t="shared" si="16"/>
        <v>46356</v>
      </c>
      <c r="AM36" s="26">
        <v>32</v>
      </c>
      <c r="AN36" s="11">
        <f t="shared" si="6"/>
        <v>2739.7260273972611</v>
      </c>
      <c r="AO36" s="11">
        <f t="shared" si="7"/>
        <v>2739.7260273972602</v>
      </c>
      <c r="AP36" s="11">
        <f t="shared" si="8"/>
        <v>2739.7260273972606</v>
      </c>
      <c r="AQ36" s="11">
        <f t="shared" si="9"/>
        <v>2739.7260273972606</v>
      </c>
      <c r="AR36" s="11">
        <f t="shared" si="10"/>
        <v>2739.7260273972606</v>
      </c>
      <c r="AS36" s="11">
        <f t="shared" si="11"/>
        <v>2739.7260273972602</v>
      </c>
      <c r="AT36" s="11">
        <f t="shared" si="12"/>
        <v>2739.6703596572615</v>
      </c>
      <c r="AU36" s="11">
        <f t="shared" si="13"/>
        <v>2739.7260273972597</v>
      </c>
      <c r="AV36" s="11">
        <f t="shared" si="14"/>
        <v>2739.7260273972611</v>
      </c>
      <c r="AW36" s="15">
        <f t="shared" si="15"/>
        <v>82191.780821917826</v>
      </c>
      <c r="AX36" s="15">
        <f t="shared" si="17"/>
        <v>7968.1274900398412</v>
      </c>
      <c r="AY36" s="44">
        <f t="shared" si="18"/>
        <v>6772.9083665338649</v>
      </c>
    </row>
    <row r="37" spans="2:51" x14ac:dyDescent="0.25">
      <c r="D37" s="26">
        <v>33</v>
      </c>
      <c r="E37">
        <f>'Calving input'!C51/2+'Calving input'!C52/2</f>
        <v>3</v>
      </c>
      <c r="F37" s="24">
        <f t="shared" si="22"/>
        <v>3</v>
      </c>
      <c r="G37" s="24">
        <f t="shared" si="22"/>
        <v>3</v>
      </c>
      <c r="H37" s="24">
        <f t="shared" si="22"/>
        <v>3</v>
      </c>
      <c r="I37" s="24">
        <f t="shared" si="22"/>
        <v>3</v>
      </c>
      <c r="J37" s="24">
        <f t="shared" si="22"/>
        <v>3</v>
      </c>
      <c r="K37" s="24">
        <f t="shared" si="22"/>
        <v>3</v>
      </c>
      <c r="L37" s="24">
        <f t="shared" si="22"/>
        <v>3</v>
      </c>
      <c r="M37" s="24">
        <f t="shared" si="22"/>
        <v>3</v>
      </c>
      <c r="N37" s="24">
        <f t="shared" si="22"/>
        <v>3</v>
      </c>
      <c r="O37" s="24">
        <f t="shared" si="22"/>
        <v>3</v>
      </c>
      <c r="P37" s="24">
        <f t="shared" si="22"/>
        <v>3</v>
      </c>
      <c r="Q37" s="24">
        <f t="shared" si="22"/>
        <v>3</v>
      </c>
      <c r="R37" s="24">
        <f t="shared" si="22"/>
        <v>3</v>
      </c>
      <c r="S37" s="10">
        <f t="shared" si="2"/>
        <v>30</v>
      </c>
      <c r="U37" s="26">
        <v>33</v>
      </c>
      <c r="V37">
        <f>'Calving input'!D51/2+'Calving input'!D52/2</f>
        <v>10</v>
      </c>
      <c r="W37" s="24">
        <f t="shared" si="23"/>
        <v>10</v>
      </c>
      <c r="X37" s="24">
        <f t="shared" si="23"/>
        <v>10</v>
      </c>
      <c r="Y37" s="24">
        <f t="shared" si="23"/>
        <v>10</v>
      </c>
      <c r="Z37" s="24">
        <f t="shared" si="23"/>
        <v>10</v>
      </c>
      <c r="AA37" s="24">
        <f t="shared" si="23"/>
        <v>10</v>
      </c>
      <c r="AB37" s="24">
        <f t="shared" si="23"/>
        <v>10</v>
      </c>
      <c r="AC37" s="24">
        <f t="shared" si="23"/>
        <v>10</v>
      </c>
      <c r="AD37" s="24">
        <f t="shared" si="23"/>
        <v>10</v>
      </c>
      <c r="AE37" s="24">
        <f t="shared" si="23"/>
        <v>10</v>
      </c>
      <c r="AF37" s="24">
        <f t="shared" si="23"/>
        <v>10</v>
      </c>
      <c r="AG37" s="24">
        <f t="shared" si="23"/>
        <v>10</v>
      </c>
      <c r="AH37" s="24">
        <f t="shared" si="23"/>
        <v>10</v>
      </c>
      <c r="AI37" s="24">
        <f t="shared" si="23"/>
        <v>10</v>
      </c>
      <c r="AJ37" s="10">
        <f t="shared" si="5"/>
        <v>100</v>
      </c>
      <c r="AL37" s="22">
        <f t="shared" si="16"/>
        <v>46387</v>
      </c>
      <c r="AM37" s="26">
        <v>33</v>
      </c>
      <c r="AN37" s="11">
        <f t="shared" si="6"/>
        <v>2739.7260273972611</v>
      </c>
      <c r="AO37" s="11">
        <f t="shared" si="7"/>
        <v>2739.7260273972602</v>
      </c>
      <c r="AP37" s="11">
        <f t="shared" si="8"/>
        <v>2739.7260273972606</v>
      </c>
      <c r="AQ37" s="11">
        <f t="shared" si="9"/>
        <v>2739.7260273972606</v>
      </c>
      <c r="AR37" s="11">
        <f t="shared" si="10"/>
        <v>2739.7260273972606</v>
      </c>
      <c r="AS37" s="11">
        <f t="shared" si="11"/>
        <v>2739.7260273972602</v>
      </c>
      <c r="AT37" s="11">
        <f t="shared" si="12"/>
        <v>2739.6703596572615</v>
      </c>
      <c r="AU37" s="11">
        <f t="shared" si="13"/>
        <v>2739.7260273972597</v>
      </c>
      <c r="AV37" s="11">
        <f t="shared" si="14"/>
        <v>2739.7260273972611</v>
      </c>
      <c r="AW37" s="15">
        <f t="shared" si="15"/>
        <v>84931.50684931509</v>
      </c>
      <c r="AX37" s="15">
        <f t="shared" si="17"/>
        <v>7968.1274900398412</v>
      </c>
      <c r="AY37" s="44">
        <f t="shared" si="18"/>
        <v>6772.9083665338649</v>
      </c>
    </row>
    <row r="38" spans="2:51" x14ac:dyDescent="0.25">
      <c r="D38" s="26">
        <v>34</v>
      </c>
      <c r="E38">
        <f>'Calving input'!C52/2+'Calving input'!C53/2</f>
        <v>3</v>
      </c>
      <c r="F38" s="24">
        <f t="shared" si="22"/>
        <v>3</v>
      </c>
      <c r="G38" s="24">
        <f t="shared" si="22"/>
        <v>3</v>
      </c>
      <c r="H38" s="24">
        <f t="shared" si="22"/>
        <v>3</v>
      </c>
      <c r="I38" s="24">
        <f t="shared" si="22"/>
        <v>3</v>
      </c>
      <c r="J38" s="24">
        <f t="shared" si="22"/>
        <v>3</v>
      </c>
      <c r="K38" s="24">
        <f t="shared" si="22"/>
        <v>3</v>
      </c>
      <c r="L38" s="24">
        <f t="shared" si="22"/>
        <v>3</v>
      </c>
      <c r="M38" s="24">
        <f t="shared" si="22"/>
        <v>3</v>
      </c>
      <c r="N38" s="24">
        <f t="shared" si="22"/>
        <v>3</v>
      </c>
      <c r="O38" s="24">
        <f t="shared" si="22"/>
        <v>3</v>
      </c>
      <c r="P38" s="24">
        <f t="shared" si="22"/>
        <v>3</v>
      </c>
      <c r="Q38" s="24">
        <f t="shared" si="22"/>
        <v>3</v>
      </c>
      <c r="R38" s="24">
        <f t="shared" si="22"/>
        <v>3</v>
      </c>
      <c r="S38" s="10">
        <f t="shared" si="2"/>
        <v>30</v>
      </c>
      <c r="U38" s="26">
        <v>34</v>
      </c>
      <c r="V38">
        <f>'Calving input'!D52/2+'Calving input'!D53/2</f>
        <v>10</v>
      </c>
      <c r="W38" s="24">
        <f t="shared" si="23"/>
        <v>10</v>
      </c>
      <c r="X38" s="24">
        <f t="shared" si="23"/>
        <v>10</v>
      </c>
      <c r="Y38" s="24">
        <f t="shared" si="23"/>
        <v>10</v>
      </c>
      <c r="Z38" s="24">
        <f t="shared" si="23"/>
        <v>10</v>
      </c>
      <c r="AA38" s="24">
        <f t="shared" si="23"/>
        <v>10</v>
      </c>
      <c r="AB38" s="24">
        <f t="shared" si="23"/>
        <v>10</v>
      </c>
      <c r="AC38" s="24">
        <f t="shared" si="23"/>
        <v>10</v>
      </c>
      <c r="AD38" s="24">
        <f t="shared" si="23"/>
        <v>10</v>
      </c>
      <c r="AE38" s="24">
        <f t="shared" si="23"/>
        <v>10</v>
      </c>
      <c r="AF38" s="24">
        <f t="shared" si="23"/>
        <v>10</v>
      </c>
      <c r="AG38" s="24">
        <f t="shared" si="23"/>
        <v>10</v>
      </c>
      <c r="AH38" s="24">
        <f t="shared" si="23"/>
        <v>10</v>
      </c>
      <c r="AI38" s="24">
        <f t="shared" si="23"/>
        <v>10</v>
      </c>
      <c r="AJ38" s="10">
        <f t="shared" si="5"/>
        <v>100</v>
      </c>
      <c r="AL38" s="22">
        <f t="shared" si="16"/>
        <v>46418</v>
      </c>
      <c r="AM38" s="26">
        <v>34</v>
      </c>
      <c r="AN38" s="11">
        <f t="shared" si="6"/>
        <v>2739.7260273972611</v>
      </c>
      <c r="AO38" s="11">
        <f t="shared" si="7"/>
        <v>2739.7260273972602</v>
      </c>
      <c r="AP38" s="11">
        <f t="shared" si="8"/>
        <v>2739.7260273972606</v>
      </c>
      <c r="AQ38" s="11">
        <f t="shared" si="9"/>
        <v>2739.7260273972606</v>
      </c>
      <c r="AR38" s="11">
        <f t="shared" si="10"/>
        <v>2739.7260273972606</v>
      </c>
      <c r="AS38" s="11">
        <f t="shared" si="11"/>
        <v>2739.7260273972602</v>
      </c>
      <c r="AT38" s="11">
        <f t="shared" si="12"/>
        <v>2739.6703596572615</v>
      </c>
      <c r="AU38" s="11">
        <f t="shared" si="13"/>
        <v>2739.7260273972597</v>
      </c>
      <c r="AV38" s="11">
        <f t="shared" si="14"/>
        <v>2739.7260273972611</v>
      </c>
      <c r="AW38" s="15">
        <f t="shared" si="15"/>
        <v>84931.50684931509</v>
      </c>
      <c r="AX38" s="15">
        <f t="shared" si="17"/>
        <v>7968.1274900398412</v>
      </c>
      <c r="AY38" s="44">
        <f t="shared" si="18"/>
        <v>6772.9083665338649</v>
      </c>
    </row>
    <row r="39" spans="2:51" x14ac:dyDescent="0.25">
      <c r="D39" s="26">
        <v>35</v>
      </c>
      <c r="E39">
        <f>'Calving input'!C53/2+'Calving input'!C54/2</f>
        <v>3</v>
      </c>
      <c r="F39" s="24">
        <f t="shared" si="22"/>
        <v>3</v>
      </c>
      <c r="G39" s="24">
        <f t="shared" si="22"/>
        <v>3</v>
      </c>
      <c r="H39" s="24">
        <f t="shared" si="22"/>
        <v>3</v>
      </c>
      <c r="I39" s="24">
        <f t="shared" si="22"/>
        <v>3</v>
      </c>
      <c r="J39" s="24">
        <f t="shared" si="22"/>
        <v>3</v>
      </c>
      <c r="K39" s="24">
        <f t="shared" si="22"/>
        <v>3</v>
      </c>
      <c r="L39" s="24">
        <f t="shared" si="22"/>
        <v>3</v>
      </c>
      <c r="M39" s="24">
        <f t="shared" si="22"/>
        <v>3</v>
      </c>
      <c r="N39" s="24">
        <f t="shared" si="22"/>
        <v>3</v>
      </c>
      <c r="O39" s="24">
        <f t="shared" si="22"/>
        <v>3</v>
      </c>
      <c r="P39" s="24">
        <f t="shared" si="22"/>
        <v>3</v>
      </c>
      <c r="Q39" s="24">
        <f t="shared" si="22"/>
        <v>3</v>
      </c>
      <c r="R39" s="24">
        <f t="shared" si="22"/>
        <v>3</v>
      </c>
      <c r="S39" s="10">
        <f t="shared" si="2"/>
        <v>30</v>
      </c>
      <c r="U39" s="26">
        <v>35</v>
      </c>
      <c r="V39">
        <f>'Calving input'!D53/2+'Calving input'!D54/2</f>
        <v>10</v>
      </c>
      <c r="W39" s="24">
        <f t="shared" si="23"/>
        <v>10</v>
      </c>
      <c r="X39" s="24">
        <f t="shared" si="23"/>
        <v>10</v>
      </c>
      <c r="Y39" s="24">
        <f t="shared" si="23"/>
        <v>10</v>
      </c>
      <c r="Z39" s="24">
        <f t="shared" si="23"/>
        <v>10</v>
      </c>
      <c r="AA39" s="24">
        <f t="shared" si="23"/>
        <v>10</v>
      </c>
      <c r="AB39" s="24">
        <f t="shared" si="23"/>
        <v>10</v>
      </c>
      <c r="AC39" s="24">
        <f t="shared" si="23"/>
        <v>10</v>
      </c>
      <c r="AD39" s="24">
        <f t="shared" si="23"/>
        <v>10</v>
      </c>
      <c r="AE39" s="24">
        <f t="shared" si="23"/>
        <v>10</v>
      </c>
      <c r="AF39" s="24">
        <f t="shared" si="23"/>
        <v>10</v>
      </c>
      <c r="AG39" s="24">
        <f t="shared" si="23"/>
        <v>10</v>
      </c>
      <c r="AH39" s="24">
        <f t="shared" si="23"/>
        <v>10</v>
      </c>
      <c r="AI39" s="24">
        <f t="shared" si="23"/>
        <v>10</v>
      </c>
      <c r="AJ39" s="10">
        <f t="shared" si="5"/>
        <v>100</v>
      </c>
      <c r="AL39" s="22">
        <f t="shared" si="16"/>
        <v>46446</v>
      </c>
      <c r="AM39" s="26">
        <v>35</v>
      </c>
      <c r="AN39" s="11">
        <f t="shared" si="6"/>
        <v>2739.7260273972611</v>
      </c>
      <c r="AO39" s="11">
        <f t="shared" si="7"/>
        <v>2739.7260273972602</v>
      </c>
      <c r="AP39" s="11">
        <f t="shared" si="8"/>
        <v>2739.7260273972606</v>
      </c>
      <c r="AQ39" s="11">
        <f t="shared" si="9"/>
        <v>2739.7260273972606</v>
      </c>
      <c r="AR39" s="11">
        <f t="shared" si="10"/>
        <v>2739.7260273972606</v>
      </c>
      <c r="AS39" s="11">
        <f t="shared" si="11"/>
        <v>2739.7260273972602</v>
      </c>
      <c r="AT39" s="11">
        <f t="shared" si="12"/>
        <v>2739.6703596572615</v>
      </c>
      <c r="AU39" s="11">
        <f t="shared" si="13"/>
        <v>2739.7260273972597</v>
      </c>
      <c r="AV39" s="11">
        <f t="shared" si="14"/>
        <v>2739.7260273972611</v>
      </c>
      <c r="AW39" s="15">
        <f t="shared" si="15"/>
        <v>76712.328767123312</v>
      </c>
      <c r="AX39" s="15">
        <f t="shared" si="17"/>
        <v>7968.1274900398412</v>
      </c>
      <c r="AY39" s="44">
        <f t="shared" si="18"/>
        <v>6772.9083665338649</v>
      </c>
    </row>
    <row r="40" spans="2:51" ht="13" thickBot="1" x14ac:dyDescent="0.3">
      <c r="D40" s="27">
        <v>36</v>
      </c>
      <c r="E40" s="14">
        <f>'Calving input'!C54/2+'Calving input'!C55/2</f>
        <v>3</v>
      </c>
      <c r="F40" s="38">
        <f t="shared" si="22"/>
        <v>3</v>
      </c>
      <c r="G40" s="38">
        <f t="shared" si="22"/>
        <v>3</v>
      </c>
      <c r="H40" s="38">
        <f t="shared" si="22"/>
        <v>3</v>
      </c>
      <c r="I40" s="38">
        <f t="shared" si="22"/>
        <v>3</v>
      </c>
      <c r="J40" s="38">
        <f t="shared" si="22"/>
        <v>3</v>
      </c>
      <c r="K40" s="38">
        <f t="shared" si="22"/>
        <v>3</v>
      </c>
      <c r="L40" s="38">
        <f t="shared" si="22"/>
        <v>3</v>
      </c>
      <c r="M40" s="38">
        <f t="shared" si="22"/>
        <v>3</v>
      </c>
      <c r="N40" s="38">
        <f t="shared" si="22"/>
        <v>3</v>
      </c>
      <c r="O40" s="38">
        <f t="shared" si="22"/>
        <v>3</v>
      </c>
      <c r="P40" s="38">
        <f t="shared" si="22"/>
        <v>3</v>
      </c>
      <c r="Q40" s="38">
        <f t="shared" si="22"/>
        <v>3</v>
      </c>
      <c r="R40" s="38">
        <f t="shared" si="22"/>
        <v>3</v>
      </c>
      <c r="S40" s="39">
        <f t="shared" si="2"/>
        <v>30</v>
      </c>
      <c r="U40" s="27">
        <v>36</v>
      </c>
      <c r="V40" s="14">
        <f>'Calving input'!D54/2+'Calving input'!D55/2</f>
        <v>10</v>
      </c>
      <c r="W40" s="38">
        <f t="shared" si="23"/>
        <v>10</v>
      </c>
      <c r="X40" s="38">
        <f t="shared" si="23"/>
        <v>10</v>
      </c>
      <c r="Y40" s="38">
        <f t="shared" si="23"/>
        <v>10</v>
      </c>
      <c r="Z40" s="38">
        <f t="shared" si="23"/>
        <v>10</v>
      </c>
      <c r="AA40" s="38">
        <f t="shared" si="23"/>
        <v>10</v>
      </c>
      <c r="AB40" s="38">
        <f t="shared" si="23"/>
        <v>10</v>
      </c>
      <c r="AC40" s="38">
        <f t="shared" si="23"/>
        <v>10</v>
      </c>
      <c r="AD40" s="38">
        <f t="shared" si="23"/>
        <v>10</v>
      </c>
      <c r="AE40" s="38">
        <f t="shared" si="23"/>
        <v>10</v>
      </c>
      <c r="AF40" s="38">
        <f t="shared" si="23"/>
        <v>10</v>
      </c>
      <c r="AG40" s="38">
        <f t="shared" si="23"/>
        <v>10</v>
      </c>
      <c r="AH40" s="38">
        <f t="shared" si="23"/>
        <v>10</v>
      </c>
      <c r="AI40" s="38">
        <f t="shared" si="23"/>
        <v>10</v>
      </c>
      <c r="AJ40" s="10">
        <f t="shared" si="5"/>
        <v>100</v>
      </c>
      <c r="AL40" s="22">
        <f t="shared" si="16"/>
        <v>46477</v>
      </c>
      <c r="AM40" s="27">
        <v>36</v>
      </c>
      <c r="AN40" s="11">
        <f t="shared" si="6"/>
        <v>2739.7260273972611</v>
      </c>
      <c r="AO40" s="11">
        <f t="shared" si="7"/>
        <v>2739.7260273972602</v>
      </c>
      <c r="AP40" s="11">
        <f t="shared" si="8"/>
        <v>2739.7260273972606</v>
      </c>
      <c r="AQ40" s="11">
        <f t="shared" si="9"/>
        <v>2739.7260273972606</v>
      </c>
      <c r="AR40" s="11">
        <f t="shared" si="10"/>
        <v>2739.7260273972606</v>
      </c>
      <c r="AS40" s="11">
        <f t="shared" si="11"/>
        <v>2739.7260273972602</v>
      </c>
      <c r="AT40" s="11">
        <f t="shared" si="12"/>
        <v>2739.6703596572615</v>
      </c>
      <c r="AU40" s="11">
        <f t="shared" si="13"/>
        <v>2739.7260273972597</v>
      </c>
      <c r="AV40" s="11">
        <f t="shared" si="14"/>
        <v>2739.7260273972611</v>
      </c>
      <c r="AW40" s="28">
        <f t="shared" si="15"/>
        <v>84931.50684931509</v>
      </c>
      <c r="AX40" s="28">
        <f t="shared" si="17"/>
        <v>7968.1274900398412</v>
      </c>
      <c r="AY40" s="255">
        <f t="shared" si="18"/>
        <v>6772.9083665338649</v>
      </c>
    </row>
    <row r="41" spans="2:51" ht="13" thickBot="1" x14ac:dyDescent="0.3">
      <c r="B41" s="3"/>
      <c r="AX41" s="15"/>
      <c r="AY41" s="15"/>
    </row>
    <row r="42" spans="2:51" ht="13" x14ac:dyDescent="0.3">
      <c r="C42" s="6" t="s">
        <v>1</v>
      </c>
      <c r="D42" s="7" t="s">
        <v>2</v>
      </c>
      <c r="E42" s="40">
        <v>1</v>
      </c>
      <c r="F42" s="40">
        <v>2</v>
      </c>
      <c r="G42" s="40">
        <v>3</v>
      </c>
      <c r="H42" s="40">
        <v>4</v>
      </c>
      <c r="I42" s="40">
        <v>5</v>
      </c>
      <c r="J42" s="40">
        <v>6</v>
      </c>
      <c r="K42" s="40">
        <v>7</v>
      </c>
      <c r="L42" s="40">
        <v>8</v>
      </c>
      <c r="M42" s="40">
        <v>9</v>
      </c>
      <c r="N42" s="40">
        <v>10</v>
      </c>
      <c r="O42" s="40">
        <v>11</v>
      </c>
      <c r="P42" s="40">
        <v>12</v>
      </c>
      <c r="Q42" s="40">
        <v>13</v>
      </c>
      <c r="R42" s="40">
        <v>14</v>
      </c>
      <c r="S42" s="41" t="s">
        <v>85</v>
      </c>
      <c r="T42" s="7"/>
      <c r="U42" s="7"/>
      <c r="V42" s="7"/>
      <c r="W42" s="7"/>
      <c r="X42" s="7"/>
      <c r="Y42" s="7"/>
      <c r="Z42" s="7"/>
      <c r="AA42" s="7"/>
      <c r="AB42" s="8"/>
    </row>
    <row r="43" spans="2:51" x14ac:dyDescent="0.25">
      <c r="C43" s="9" t="s">
        <v>3</v>
      </c>
      <c r="D43" s="11" t="s">
        <v>4</v>
      </c>
      <c r="E43" s="42">
        <v>0.85</v>
      </c>
      <c r="F43" s="42">
        <v>1.1000000000000001</v>
      </c>
      <c r="G43" s="42">
        <v>1.25</v>
      </c>
      <c r="H43" s="42">
        <v>1.23</v>
      </c>
      <c r="I43" s="42">
        <v>1.1399999999999999</v>
      </c>
      <c r="J43" s="42">
        <v>1.05</v>
      </c>
      <c r="K43" s="42">
        <v>0.97</v>
      </c>
      <c r="L43" s="42">
        <v>0.88</v>
      </c>
      <c r="M43" s="42">
        <v>0.8</v>
      </c>
      <c r="N43" s="42">
        <v>0.73</v>
      </c>
      <c r="O43" s="42">
        <v>0.65</v>
      </c>
      <c r="P43" s="42">
        <v>0.59</v>
      </c>
      <c r="Q43" s="42">
        <v>0.54</v>
      </c>
      <c r="R43" s="42">
        <v>0.49</v>
      </c>
      <c r="S43" s="43">
        <f>AVERAGE(E43:N43)</f>
        <v>1</v>
      </c>
      <c r="T43" s="15" t="s">
        <v>19</v>
      </c>
      <c r="U43" s="15" t="s">
        <v>52</v>
      </c>
      <c r="AB43" s="10"/>
    </row>
    <row r="44" spans="2:51" x14ac:dyDescent="0.25">
      <c r="C44" s="9"/>
      <c r="D44" t="s">
        <v>5</v>
      </c>
      <c r="E44" s="42">
        <v>0.99800399201596801</v>
      </c>
      <c r="F44" s="42">
        <v>1.4171656686626746</v>
      </c>
      <c r="G44" s="42">
        <v>1.3772455089820359</v>
      </c>
      <c r="H44" s="42">
        <v>1.2275449101796407</v>
      </c>
      <c r="I44" s="42">
        <v>1.1177644710578842</v>
      </c>
      <c r="J44" s="42">
        <v>0.99800399201596801</v>
      </c>
      <c r="K44" s="42">
        <v>0.8782435129740519</v>
      </c>
      <c r="L44" s="42">
        <v>0.7684630738522954</v>
      </c>
      <c r="M44" s="42">
        <v>0.65868263473053901</v>
      </c>
      <c r="N44" s="42">
        <v>0.55888223552894212</v>
      </c>
      <c r="O44" s="42">
        <v>0.46906187624750495</v>
      </c>
      <c r="P44" s="42">
        <v>0.39920159680638723</v>
      </c>
      <c r="Q44" s="42">
        <v>0.3592814371257485</v>
      </c>
      <c r="R44" s="42">
        <v>0.3293413173652695</v>
      </c>
      <c r="S44" s="43">
        <f t="shared" ref="S44:S58" si="24">AVERAGE(E44:N44)</f>
        <v>1</v>
      </c>
      <c r="T44" s="15"/>
      <c r="U44" s="15"/>
      <c r="AB44" s="10"/>
    </row>
    <row r="45" spans="2:51" x14ac:dyDescent="0.25">
      <c r="C45" s="9" t="s">
        <v>6</v>
      </c>
      <c r="D45" t="s">
        <v>4</v>
      </c>
      <c r="E45" s="42">
        <v>0.8500000000000002</v>
      </c>
      <c r="F45" s="42">
        <v>1.1400000000000001</v>
      </c>
      <c r="G45" s="42">
        <v>1.2100000000000002</v>
      </c>
      <c r="H45" s="42">
        <v>1.1600000000000001</v>
      </c>
      <c r="I45" s="42">
        <v>1.1000000000000003</v>
      </c>
      <c r="J45" s="42">
        <v>1.0500000000000003</v>
      </c>
      <c r="K45" s="42">
        <v>0.9800000000000002</v>
      </c>
      <c r="L45" s="42">
        <v>0.91000000000000025</v>
      </c>
      <c r="M45" s="42">
        <v>0.82000000000000017</v>
      </c>
      <c r="N45" s="42">
        <v>0.78000000000000025</v>
      </c>
      <c r="O45" s="42">
        <v>0.72000000000000008</v>
      </c>
      <c r="P45" s="42">
        <v>0.67000000000000015</v>
      </c>
      <c r="Q45" s="42">
        <v>0.62000000000000011</v>
      </c>
      <c r="R45" s="42">
        <v>0.58000000000000007</v>
      </c>
      <c r="S45" s="43">
        <f t="shared" si="24"/>
        <v>1.0000000000000004</v>
      </c>
      <c r="T45" t="s">
        <v>6</v>
      </c>
      <c r="U45" t="s">
        <v>18</v>
      </c>
      <c r="V45" s="15"/>
      <c r="W45" s="15"/>
      <c r="X45" s="15"/>
      <c r="Y45" s="15"/>
      <c r="Z45" s="15"/>
      <c r="AA45" s="15"/>
      <c r="AB45" s="44"/>
    </row>
    <row r="46" spans="2:51" x14ac:dyDescent="0.25">
      <c r="C46" s="9"/>
      <c r="D46" t="s">
        <v>5</v>
      </c>
      <c r="E46" s="42">
        <v>0.99999999999999978</v>
      </c>
      <c r="F46" s="42">
        <v>1.2899999999999998</v>
      </c>
      <c r="G46" s="42">
        <v>1.2799999999999998</v>
      </c>
      <c r="H46" s="42">
        <v>1.2099999999999997</v>
      </c>
      <c r="I46" s="42">
        <v>1.1099999999999999</v>
      </c>
      <c r="J46" s="42">
        <v>1.0099999999999998</v>
      </c>
      <c r="K46" s="42">
        <v>0.90999999999999981</v>
      </c>
      <c r="L46" s="42">
        <v>0.81999999999999973</v>
      </c>
      <c r="M46" s="42">
        <v>0.72999999999999987</v>
      </c>
      <c r="N46" s="42">
        <v>0.6399999999999999</v>
      </c>
      <c r="O46" s="42">
        <v>0.54999999999999993</v>
      </c>
      <c r="P46" s="42">
        <v>0.46999999999999986</v>
      </c>
      <c r="Q46" s="42">
        <v>0.40999999999999986</v>
      </c>
      <c r="R46" s="42">
        <v>0.34999999999999992</v>
      </c>
      <c r="S46" s="43">
        <f t="shared" si="24"/>
        <v>1</v>
      </c>
      <c r="AB46" s="10"/>
    </row>
    <row r="47" spans="2:51" x14ac:dyDescent="0.25">
      <c r="C47" s="9" t="s">
        <v>7</v>
      </c>
      <c r="D47" t="s">
        <v>4</v>
      </c>
      <c r="E47" s="42">
        <v>0.85</v>
      </c>
      <c r="F47" s="42">
        <v>1.04</v>
      </c>
      <c r="G47" s="42">
        <v>1.1299999999999999</v>
      </c>
      <c r="H47" s="42">
        <v>1.1299999999999999</v>
      </c>
      <c r="I47" s="42">
        <v>1.07</v>
      </c>
      <c r="J47" s="42">
        <v>1.03</v>
      </c>
      <c r="K47" s="42">
        <v>1</v>
      </c>
      <c r="L47" s="42">
        <v>0.96</v>
      </c>
      <c r="M47" s="42">
        <v>0.92</v>
      </c>
      <c r="N47" s="42">
        <v>0.87</v>
      </c>
      <c r="O47" s="42">
        <v>0.82</v>
      </c>
      <c r="P47" s="42">
        <v>0.76</v>
      </c>
      <c r="Q47" s="42">
        <v>0.7</v>
      </c>
      <c r="R47" s="42">
        <v>0.64</v>
      </c>
      <c r="S47" s="43">
        <f t="shared" si="24"/>
        <v>1</v>
      </c>
      <c r="T47" t="s">
        <v>7</v>
      </c>
      <c r="U47" t="s">
        <v>17</v>
      </c>
      <c r="V47" s="15"/>
      <c r="W47" s="15"/>
      <c r="X47" s="15"/>
      <c r="Y47" s="15"/>
      <c r="Z47" s="15"/>
      <c r="AA47" s="15"/>
      <c r="AB47" s="44"/>
    </row>
    <row r="48" spans="2:51" x14ac:dyDescent="0.25">
      <c r="C48" s="9"/>
      <c r="D48" t="s">
        <v>5</v>
      </c>
      <c r="E48" s="42">
        <v>1.0010010010010011</v>
      </c>
      <c r="F48" s="42">
        <v>1.1611611611611612</v>
      </c>
      <c r="G48" s="42">
        <v>1.1811811811811812</v>
      </c>
      <c r="H48" s="42">
        <v>1.1811811811811812</v>
      </c>
      <c r="I48" s="42">
        <v>1.0910910910910911</v>
      </c>
      <c r="J48" s="42">
        <v>1.0210210210210211</v>
      </c>
      <c r="K48" s="42">
        <v>0.95095095095095095</v>
      </c>
      <c r="L48" s="42">
        <v>0.8808808808808809</v>
      </c>
      <c r="M48" s="42">
        <v>0.81081081081081086</v>
      </c>
      <c r="N48" s="42">
        <v>0.72072072072072069</v>
      </c>
      <c r="O48" s="42">
        <v>0.64064064064064064</v>
      </c>
      <c r="P48" s="42">
        <v>0.56056056056056058</v>
      </c>
      <c r="Q48" s="42">
        <v>0.49049049049049048</v>
      </c>
      <c r="R48" s="42">
        <v>0.44044044044044045</v>
      </c>
      <c r="S48" s="43">
        <f t="shared" si="24"/>
        <v>0.99999999999999978</v>
      </c>
      <c r="V48" s="15"/>
      <c r="W48" s="15"/>
      <c r="X48" s="15"/>
      <c r="Y48" s="15"/>
      <c r="Z48" s="15"/>
      <c r="AA48" s="15"/>
      <c r="AB48" s="44"/>
    </row>
    <row r="49" spans="3:28" x14ac:dyDescent="0.25">
      <c r="C49" s="9" t="s">
        <v>8</v>
      </c>
      <c r="D49" t="s">
        <v>4</v>
      </c>
      <c r="E49" s="42">
        <v>0.84915084915084926</v>
      </c>
      <c r="F49" s="42">
        <v>0.94905094905094911</v>
      </c>
      <c r="G49" s="42">
        <v>1.0389610389610391</v>
      </c>
      <c r="H49" s="42">
        <v>1.0889110889110891</v>
      </c>
      <c r="I49" s="42">
        <v>1.1188811188811192</v>
      </c>
      <c r="J49" s="42">
        <v>1.0989010989010992</v>
      </c>
      <c r="K49" s="42">
        <v>1.0689310689310692</v>
      </c>
      <c r="L49" s="42">
        <v>1.008991008991009</v>
      </c>
      <c r="M49" s="42">
        <v>0.92907092907092925</v>
      </c>
      <c r="N49" s="42">
        <v>0.84915084915084926</v>
      </c>
      <c r="O49" s="42">
        <v>0.75924075924075929</v>
      </c>
      <c r="P49" s="42">
        <v>0.68931068931068928</v>
      </c>
      <c r="Q49" s="42">
        <v>0.63936063936063947</v>
      </c>
      <c r="R49" s="42">
        <v>0.59940059940059942</v>
      </c>
      <c r="S49" s="43">
        <f t="shared" si="24"/>
        <v>1.0000000000000002</v>
      </c>
      <c r="T49" t="s">
        <v>15</v>
      </c>
      <c r="U49" t="s">
        <v>16</v>
      </c>
      <c r="AB49" s="10"/>
    </row>
    <row r="50" spans="3:28" x14ac:dyDescent="0.25">
      <c r="C50" s="9"/>
      <c r="D50" t="s">
        <v>5</v>
      </c>
      <c r="E50" s="42">
        <v>0.99601593625498008</v>
      </c>
      <c r="F50" s="42">
        <v>1.145418326693227</v>
      </c>
      <c r="G50" s="42">
        <v>1.2250996015936255</v>
      </c>
      <c r="H50" s="42">
        <v>1.2151394422310757</v>
      </c>
      <c r="I50" s="42">
        <v>1.145418326693227</v>
      </c>
      <c r="J50" s="42">
        <v>1.045816733067729</v>
      </c>
      <c r="K50" s="42">
        <v>0.9561752988047808</v>
      </c>
      <c r="L50" s="42">
        <v>0.85657370517928288</v>
      </c>
      <c r="M50" s="42">
        <v>0.75697211155378485</v>
      </c>
      <c r="N50" s="42">
        <v>0.65737051792828693</v>
      </c>
      <c r="O50" s="42">
        <v>0.52788844621513942</v>
      </c>
      <c r="P50" s="42">
        <v>0.42828685258964144</v>
      </c>
      <c r="Q50" s="42">
        <v>0.32868525896414347</v>
      </c>
      <c r="R50" s="42">
        <v>0.22908366533864544</v>
      </c>
      <c r="S50" s="43">
        <f t="shared" si="24"/>
        <v>0.99999999999999978</v>
      </c>
      <c r="AB50" s="10"/>
    </row>
    <row r="51" spans="3:28" x14ac:dyDescent="0.25">
      <c r="C51" s="9" t="s">
        <v>9</v>
      </c>
      <c r="D51" t="s">
        <v>4</v>
      </c>
      <c r="E51" s="42">
        <v>0.85</v>
      </c>
      <c r="F51" s="42">
        <v>1.04</v>
      </c>
      <c r="G51" s="42">
        <v>1.1200000000000001</v>
      </c>
      <c r="H51" s="42">
        <v>1.1200000000000001</v>
      </c>
      <c r="I51" s="42">
        <v>1.08</v>
      </c>
      <c r="J51" s="42">
        <v>1.04</v>
      </c>
      <c r="K51" s="42">
        <v>1</v>
      </c>
      <c r="L51" s="42">
        <v>0.96</v>
      </c>
      <c r="M51" s="42">
        <v>0.92</v>
      </c>
      <c r="N51" s="42">
        <v>0.87</v>
      </c>
      <c r="O51" s="42">
        <v>0.81</v>
      </c>
      <c r="P51" s="42">
        <v>0.75</v>
      </c>
      <c r="Q51" s="42">
        <v>0.67</v>
      </c>
      <c r="R51" s="42">
        <v>0.6</v>
      </c>
      <c r="S51" s="43">
        <f t="shared" si="24"/>
        <v>1</v>
      </c>
      <c r="T51" t="s">
        <v>13</v>
      </c>
      <c r="U51" t="s">
        <v>14</v>
      </c>
      <c r="AB51" s="10"/>
    </row>
    <row r="52" spans="3:28" x14ac:dyDescent="0.25">
      <c r="C52" s="9"/>
      <c r="D52" t="s">
        <v>5</v>
      </c>
      <c r="E52" s="42">
        <v>0.99900099900099892</v>
      </c>
      <c r="F52" s="42">
        <v>1.1988011988011986</v>
      </c>
      <c r="G52" s="42">
        <v>1.2087912087912087</v>
      </c>
      <c r="H52" s="42">
        <v>1.1388611388611387</v>
      </c>
      <c r="I52" s="42">
        <v>1.0689310689310689</v>
      </c>
      <c r="J52" s="42">
        <v>0.99900099900099892</v>
      </c>
      <c r="K52" s="42">
        <v>0.94905094905094889</v>
      </c>
      <c r="L52" s="42">
        <v>0.879120879120879</v>
      </c>
      <c r="M52" s="42">
        <v>0.8091908091908091</v>
      </c>
      <c r="N52" s="42">
        <v>0.74925074925074919</v>
      </c>
      <c r="O52" s="42">
        <v>0.70929070929070914</v>
      </c>
      <c r="P52" s="42">
        <v>0.64935064935064934</v>
      </c>
      <c r="Q52" s="42">
        <v>0.59940059940059931</v>
      </c>
      <c r="R52" s="42">
        <v>0.54945054945054939</v>
      </c>
      <c r="S52" s="43">
        <f t="shared" si="24"/>
        <v>0.99999999999999978</v>
      </c>
      <c r="AB52" s="10"/>
    </row>
    <row r="53" spans="3:28" x14ac:dyDescent="0.25">
      <c r="C53" s="9" t="s">
        <v>10</v>
      </c>
      <c r="D53" t="s">
        <v>4</v>
      </c>
      <c r="E53" s="42">
        <v>0.85085085085085088</v>
      </c>
      <c r="F53" s="42">
        <v>1.1811811811811812</v>
      </c>
      <c r="G53" s="42">
        <v>1.2412412412412412</v>
      </c>
      <c r="H53" s="42">
        <v>1.2412412412412412</v>
      </c>
      <c r="I53" s="42">
        <v>1.1711711711711712</v>
      </c>
      <c r="J53" s="42">
        <v>1.0610610610610611</v>
      </c>
      <c r="K53" s="42">
        <v>0.97097097097097096</v>
      </c>
      <c r="L53" s="42">
        <v>0.86086086086086089</v>
      </c>
      <c r="M53" s="42">
        <v>0.76076076076076082</v>
      </c>
      <c r="N53" s="42">
        <v>0.66066066066066065</v>
      </c>
      <c r="O53" s="42">
        <v>0.55055055055055058</v>
      </c>
      <c r="P53" s="42">
        <v>0.44044044044044045</v>
      </c>
      <c r="Q53" s="42">
        <v>0.36036036036036034</v>
      </c>
      <c r="R53" s="42">
        <v>0.28028028028028029</v>
      </c>
      <c r="S53" s="43">
        <f t="shared" si="24"/>
        <v>0.99999999999999978</v>
      </c>
      <c r="T53" t="s">
        <v>11</v>
      </c>
      <c r="U53" t="s">
        <v>12</v>
      </c>
      <c r="AB53" s="10"/>
    </row>
    <row r="54" spans="3:28" x14ac:dyDescent="0.25">
      <c r="C54" s="9"/>
      <c r="D54" t="s">
        <v>5</v>
      </c>
      <c r="E54" s="42">
        <v>0.99502487562189046</v>
      </c>
      <c r="F54" s="42">
        <v>1.1343283582089549</v>
      </c>
      <c r="G54" s="42">
        <v>1.2139303482587063</v>
      </c>
      <c r="H54" s="42">
        <v>1.2238805970149251</v>
      </c>
      <c r="I54" s="42">
        <v>1.1542288557213929</v>
      </c>
      <c r="J54" s="42">
        <v>1.0547263681592038</v>
      </c>
      <c r="K54" s="42">
        <v>0.9552238805970148</v>
      </c>
      <c r="L54" s="42">
        <v>0.85572139303482575</v>
      </c>
      <c r="M54" s="42">
        <v>0.7562189054726367</v>
      </c>
      <c r="N54" s="42">
        <v>0.65671641791044777</v>
      </c>
      <c r="O54" s="42">
        <v>0.54726368159203975</v>
      </c>
      <c r="P54" s="42">
        <v>0.43781094527363179</v>
      </c>
      <c r="Q54" s="42">
        <v>0.35820895522388052</v>
      </c>
      <c r="R54" s="42">
        <v>0.27860696517412936</v>
      </c>
      <c r="S54" s="43">
        <f t="shared" si="24"/>
        <v>0.99999999999999978</v>
      </c>
      <c r="AB54" s="10"/>
    </row>
    <row r="55" spans="3:28" x14ac:dyDescent="0.25">
      <c r="C55" s="9" t="s">
        <v>134</v>
      </c>
      <c r="D55" t="s">
        <v>4</v>
      </c>
      <c r="E55" s="42">
        <v>1.119</v>
      </c>
      <c r="F55" s="42">
        <v>1.224</v>
      </c>
      <c r="G55" s="42">
        <v>1.1950000000000001</v>
      </c>
      <c r="H55" s="42">
        <v>1.1339999999999999</v>
      </c>
      <c r="I55" s="42">
        <v>1.0529999999999999</v>
      </c>
      <c r="J55" s="42">
        <v>0.98699999999999999</v>
      </c>
      <c r="K55" s="42">
        <v>0.92400000000000004</v>
      </c>
      <c r="L55" s="42">
        <v>0.84699999999999998</v>
      </c>
      <c r="M55" s="42">
        <v>0.78300000000000003</v>
      </c>
      <c r="N55" s="42">
        <v>0.73299999999999998</v>
      </c>
      <c r="O55" s="42">
        <v>0.66370378151260501</v>
      </c>
      <c r="P55" s="42">
        <v>0.60056722689075626</v>
      </c>
      <c r="Q55" s="42">
        <v>0.54359033613445373</v>
      </c>
      <c r="R55" s="42">
        <v>0.49123319327731096</v>
      </c>
      <c r="S55" s="43">
        <f t="shared" si="24"/>
        <v>0.99990000000000001</v>
      </c>
      <c r="T55" t="s">
        <v>134</v>
      </c>
      <c r="U55" t="s">
        <v>136</v>
      </c>
      <c r="AB55" s="10"/>
    </row>
    <row r="56" spans="3:28" x14ac:dyDescent="0.25">
      <c r="C56" s="9"/>
      <c r="D56" t="s">
        <v>5</v>
      </c>
      <c r="E56" s="42">
        <v>1.2470000000000001</v>
      </c>
      <c r="F56" s="42">
        <v>1.3260000000000001</v>
      </c>
      <c r="G56" s="42">
        <v>1.2549999999999999</v>
      </c>
      <c r="H56" s="42">
        <v>1.151</v>
      </c>
      <c r="I56" s="42">
        <v>1.05</v>
      </c>
      <c r="J56" s="42">
        <v>0.95899999999999996</v>
      </c>
      <c r="K56" s="42">
        <v>0.874</v>
      </c>
      <c r="L56" s="42">
        <v>0.78200000000000003</v>
      </c>
      <c r="M56" s="42">
        <v>0.70499999999999996</v>
      </c>
      <c r="N56" s="42">
        <v>0.65100000000000002</v>
      </c>
      <c r="O56" s="42">
        <v>0.56289473684210534</v>
      </c>
      <c r="P56" s="42">
        <v>0.48131578947368425</v>
      </c>
      <c r="Q56" s="42">
        <v>0.41605263157894734</v>
      </c>
      <c r="R56" s="42">
        <v>0.35568421052631571</v>
      </c>
      <c r="S56" s="43">
        <f t="shared" si="24"/>
        <v>0.99999999999999978</v>
      </c>
      <c r="AB56" s="10"/>
    </row>
    <row r="57" spans="3:28" x14ac:dyDescent="0.25">
      <c r="C57" s="9" t="s">
        <v>135</v>
      </c>
      <c r="D57" t="s">
        <v>4</v>
      </c>
      <c r="E57" s="283">
        <v>1.0085325292206533</v>
      </c>
      <c r="F57" s="283">
        <v>1.1134071253210633</v>
      </c>
      <c r="G57" s="283">
        <v>1.1034208579922327</v>
      </c>
      <c r="H57" s="283">
        <v>1.0795345079276712</v>
      </c>
      <c r="I57" s="283">
        <v>1.0579943269428358</v>
      </c>
      <c r="J57" s="283">
        <v>1.0249186612811936</v>
      </c>
      <c r="K57" s="283">
        <v>0.98607954256498143</v>
      </c>
      <c r="L57" s="283">
        <v>0.94467548067603457</v>
      </c>
      <c r="M57" s="283">
        <v>0.88005323558789128</v>
      </c>
      <c r="N57" s="283">
        <v>0.8013837324854417</v>
      </c>
      <c r="O57" s="283">
        <v>0.72562266533870878</v>
      </c>
      <c r="P57" s="283">
        <v>0.65659591527168537</v>
      </c>
      <c r="Q57" s="283">
        <v>0.59430348228437158</v>
      </c>
      <c r="R57" s="283">
        <v>0.53706178710684016</v>
      </c>
      <c r="S57" s="43">
        <f t="shared" si="24"/>
        <v>1</v>
      </c>
      <c r="T57" t="s">
        <v>135</v>
      </c>
      <c r="U57" t="s">
        <v>141</v>
      </c>
      <c r="AB57" s="10"/>
    </row>
    <row r="58" spans="3:28" ht="13" thickBot="1" x14ac:dyDescent="0.3">
      <c r="C58" s="12"/>
      <c r="D58" s="14" t="s">
        <v>5</v>
      </c>
      <c r="E58" s="284">
        <v>1.1461270712055274</v>
      </c>
      <c r="F58" s="284">
        <v>1.2365325501792115</v>
      </c>
      <c r="G58" s="284">
        <v>1.1874750050344074</v>
      </c>
      <c r="H58" s="284">
        <v>1.1231929296529468</v>
      </c>
      <c r="I58" s="284">
        <v>1.0626034361471524</v>
      </c>
      <c r="J58" s="284">
        <v>1.0012465204998369</v>
      </c>
      <c r="K58" s="284">
        <v>0.93745099404742571</v>
      </c>
      <c r="L58" s="284">
        <v>0.85988181074630499</v>
      </c>
      <c r="M58" s="284">
        <v>0.76715025333625197</v>
      </c>
      <c r="N58" s="284">
        <v>0.67833942915093448</v>
      </c>
      <c r="O58" s="284">
        <v>0.58653409287486813</v>
      </c>
      <c r="P58" s="284">
        <v>0.50152915187851044</v>
      </c>
      <c r="Q58" s="284">
        <v>0.43352519908142423</v>
      </c>
      <c r="R58" s="284">
        <v>0.37062154274411951</v>
      </c>
      <c r="S58" s="45">
        <f t="shared" si="24"/>
        <v>1</v>
      </c>
      <c r="T58" s="14"/>
      <c r="U58" s="14"/>
      <c r="V58" s="14"/>
      <c r="W58" s="14"/>
      <c r="X58" s="14"/>
      <c r="Y58" s="14"/>
      <c r="Z58" s="14"/>
      <c r="AA58" s="14"/>
      <c r="AB58" s="39"/>
    </row>
    <row r="59" spans="3:28" x14ac:dyDescent="0.25">
      <c r="E59" s="36"/>
      <c r="F59" s="36"/>
      <c r="G59" s="36"/>
      <c r="H59" s="36"/>
      <c r="I59" s="36"/>
      <c r="J59" s="36"/>
      <c r="K59" s="36"/>
      <c r="L59" s="36"/>
      <c r="M59" s="36"/>
      <c r="N59" s="36"/>
      <c r="O59" s="36"/>
      <c r="P59" s="36"/>
      <c r="Q59" s="36"/>
      <c r="R59" s="36"/>
    </row>
    <row r="60" spans="3:28" x14ac:dyDescent="0.25">
      <c r="E60" s="36"/>
      <c r="F60" s="36"/>
      <c r="G60" s="36"/>
      <c r="H60" s="36"/>
      <c r="I60" s="36"/>
      <c r="J60" s="36"/>
      <c r="K60" s="36"/>
      <c r="L60" s="36"/>
      <c r="M60" s="36"/>
      <c r="N60" s="36"/>
      <c r="O60" s="36"/>
      <c r="P60" s="36"/>
      <c r="Q60" s="36"/>
      <c r="R60" s="36"/>
    </row>
    <row r="61" spans="3:28" x14ac:dyDescent="0.25">
      <c r="E61" s="36"/>
      <c r="F61" s="36"/>
      <c r="G61" s="36"/>
      <c r="H61" s="36"/>
      <c r="I61" s="36"/>
      <c r="J61" s="36"/>
      <c r="K61" s="36"/>
      <c r="L61" s="36"/>
      <c r="M61" s="36"/>
      <c r="N61" s="36"/>
      <c r="O61" s="36"/>
      <c r="P61" s="36"/>
      <c r="Q61" s="36"/>
      <c r="R61" s="36"/>
    </row>
    <row r="62" spans="3:28" x14ac:dyDescent="0.25">
      <c r="E62" s="36"/>
      <c r="F62" s="36"/>
      <c r="G62" s="36"/>
      <c r="H62" s="36"/>
      <c r="I62" s="36"/>
      <c r="J62" s="36"/>
      <c r="K62" s="36"/>
      <c r="L62" s="36"/>
      <c r="M62" s="36"/>
      <c r="N62" s="36"/>
      <c r="O62" s="36"/>
      <c r="P62" s="36"/>
      <c r="Q62" s="36"/>
      <c r="R62" s="36"/>
    </row>
    <row r="63" spans="3:28" x14ac:dyDescent="0.25">
      <c r="E63" s="36"/>
      <c r="F63" s="36"/>
      <c r="G63" s="36"/>
      <c r="H63" s="36"/>
      <c r="I63" s="36"/>
      <c r="J63" s="36"/>
      <c r="K63" s="36"/>
      <c r="L63" s="36"/>
      <c r="M63" s="36"/>
      <c r="N63" s="36"/>
      <c r="O63" s="36"/>
      <c r="P63" s="36"/>
      <c r="Q63" s="36"/>
      <c r="R63" s="36"/>
    </row>
    <row r="64" spans="3:28" x14ac:dyDescent="0.25">
      <c r="E64" s="36"/>
      <c r="F64" s="36"/>
      <c r="G64" s="36"/>
      <c r="H64" s="36"/>
      <c r="I64" s="36"/>
      <c r="J64" s="36"/>
      <c r="K64" s="36"/>
      <c r="L64" s="36"/>
      <c r="M64" s="36"/>
      <c r="N64" s="36"/>
      <c r="O64" s="36"/>
      <c r="P64" s="36"/>
      <c r="Q64" s="36"/>
      <c r="R64" s="36"/>
    </row>
    <row r="65" spans="5:18" x14ac:dyDescent="0.25">
      <c r="E65" s="36"/>
      <c r="F65" s="36"/>
      <c r="G65" s="36"/>
      <c r="H65" s="36"/>
      <c r="I65" s="36"/>
      <c r="J65" s="36"/>
      <c r="K65" s="36"/>
      <c r="L65" s="36"/>
      <c r="M65" s="36"/>
      <c r="N65" s="36"/>
      <c r="O65" s="36"/>
      <c r="P65" s="36"/>
      <c r="Q65" s="36"/>
      <c r="R65" s="36"/>
    </row>
    <row r="66" spans="5:18" x14ac:dyDescent="0.25">
      <c r="E66" s="36"/>
      <c r="F66" s="36"/>
      <c r="G66" s="36"/>
      <c r="H66" s="36"/>
      <c r="I66" s="36"/>
      <c r="J66" s="36"/>
      <c r="K66" s="36"/>
      <c r="L66" s="36"/>
      <c r="M66" s="36"/>
      <c r="N66" s="36"/>
      <c r="O66" s="36"/>
      <c r="P66" s="36"/>
      <c r="Q66" s="36"/>
      <c r="R66" s="36"/>
    </row>
    <row r="67" spans="5:18" x14ac:dyDescent="0.25">
      <c r="E67" s="36"/>
      <c r="F67" s="36"/>
      <c r="G67" s="36"/>
      <c r="H67" s="36"/>
      <c r="I67" s="36"/>
      <c r="J67" s="36"/>
      <c r="K67" s="36"/>
      <c r="L67" s="36"/>
      <c r="M67" s="36"/>
      <c r="N67" s="36"/>
      <c r="O67" s="36"/>
      <c r="P67" s="36"/>
      <c r="Q67" s="36"/>
      <c r="R67" s="3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Y58"/>
  <sheetViews>
    <sheetView topLeftCell="J1" workbookViewId="0">
      <selection activeCell="AJ5" sqref="AJ5"/>
    </sheetView>
  </sheetViews>
  <sheetFormatPr defaultRowHeight="12.5" x14ac:dyDescent="0.25"/>
  <cols>
    <col min="1" max="1" width="18.81640625" bestFit="1" customWidth="1"/>
    <col min="4" max="4" width="10" customWidth="1"/>
    <col min="17" max="17" width="11.26953125" bestFit="1" customWidth="1"/>
    <col min="21" max="21" width="10.26953125" bestFit="1" customWidth="1"/>
    <col min="29" max="29" width="10.26953125" bestFit="1" customWidth="1"/>
    <col min="30" max="30" width="10.453125" customWidth="1"/>
    <col min="39" max="39" width="10.453125" customWidth="1"/>
    <col min="49" max="49" width="11.26953125" bestFit="1" customWidth="1"/>
  </cols>
  <sheetData>
    <row r="1" spans="1:51" ht="13" thickBot="1" x14ac:dyDescent="0.3">
      <c r="A1" s="6" t="s">
        <v>43</v>
      </c>
      <c r="B1" s="7"/>
      <c r="D1" s="6" t="s">
        <v>24</v>
      </c>
      <c r="E1" s="7">
        <v>30</v>
      </c>
      <c r="F1" s="7">
        <v>61</v>
      </c>
      <c r="G1" s="7">
        <v>91</v>
      </c>
      <c r="H1" s="7">
        <v>122</v>
      </c>
      <c r="I1" s="7">
        <v>152</v>
      </c>
      <c r="J1" s="7">
        <v>183</v>
      </c>
      <c r="K1" s="7">
        <v>213</v>
      </c>
      <c r="L1" s="7">
        <v>244</v>
      </c>
      <c r="M1" s="7">
        <v>274</v>
      </c>
      <c r="N1" s="7">
        <v>305</v>
      </c>
      <c r="O1" s="7">
        <v>335</v>
      </c>
      <c r="P1" s="7">
        <v>365</v>
      </c>
      <c r="Q1" s="7">
        <v>395</v>
      </c>
      <c r="R1" s="7">
        <v>425</v>
      </c>
      <c r="S1" s="8"/>
      <c r="U1" s="6"/>
      <c r="V1" s="7"/>
      <c r="W1" s="7"/>
      <c r="X1" s="7"/>
      <c r="Y1" s="7"/>
      <c r="Z1" s="7"/>
      <c r="AA1" s="7"/>
      <c r="AB1" s="7"/>
      <c r="AC1" s="7"/>
      <c r="AD1" s="7"/>
      <c r="AE1" s="7"/>
      <c r="AF1" s="7"/>
      <c r="AG1" s="7"/>
      <c r="AH1" s="7"/>
      <c r="AI1" s="7"/>
      <c r="AJ1" s="8"/>
    </row>
    <row r="2" spans="1:51" x14ac:dyDescent="0.25">
      <c r="A2" s="9"/>
      <c r="B2" s="23" t="s">
        <v>34</v>
      </c>
      <c r="D2" s="9" t="s">
        <v>154</v>
      </c>
      <c r="E2" s="282">
        <f>'Culling rate'!H5</f>
        <v>1</v>
      </c>
      <c r="F2" s="282">
        <f>IF(Input!$F$25-Input!F26&gt;=F1,'Culling rate'!H6,IF(Input!$F$25-Input!F26&lt;E1,0,(Input!$F$25-Input!F26-E1)/30))</f>
        <v>1</v>
      </c>
      <c r="G2" s="282">
        <f>IF(Input!$F$25-Input!F26&gt;=G1,'Culling rate'!H7,IF(Input!$F$25-Input!F26&lt;F1,0,(Input!$F$25-Input!F26-F1)/30))</f>
        <v>1</v>
      </c>
      <c r="H2" s="282">
        <f>IF(Input!$F$25-Input!F26&gt;=H1,'Culling rate'!H8,IF(Input!$F$25-Input!F26&lt;G1,0,(Input!$F$25-Input!F26-G1)/30))</f>
        <v>1</v>
      </c>
      <c r="I2" s="282">
        <f>IF(Input!$F$25-Input!F26&gt;=I1,'Culling rate'!H9,IF(Input!$F$25-Input!F26&lt;H1,0,(Input!$F$25-Input!F26-H1)/30))</f>
        <v>0.8</v>
      </c>
      <c r="J2" s="282">
        <f>IF(Input!$F$25-Input!F26&gt;=J1,'Culling rate'!H10,IF(Input!$F$25-Input!F26&lt;I1,0,(Input!$F$25-Input!F26-I1)/30))</f>
        <v>0.64000000000000012</v>
      </c>
      <c r="K2" s="282">
        <f>IF(Input!$F$25-Input!F26&gt;=K1,'Culling rate'!H11,IF(Input!$F$25-Input!F26&lt;J1,0,(Input!$F$25-Input!F26-J1)/30))</f>
        <v>0.51200000000000012</v>
      </c>
      <c r="L2" s="282">
        <f>IF(Input!$F$25-Input!F26&gt;=L1,'Culling rate'!H12,IF(Input!$F$25-Input!F26&lt;K1,0,(Input!$F$25-Input!F26-K1)/30))</f>
        <v>0</v>
      </c>
      <c r="M2" s="282">
        <f>IF(Input!$F$25-Input!F26&gt;=M1,'Culling rate'!H13,IF(Input!$F$25-Input!F26&lt;L1,0,(Input!$F$25-Input!F26-L1)/30))</f>
        <v>0</v>
      </c>
      <c r="N2" s="282">
        <f>IF(Input!$F$25-Input!F26&gt;=N1,'Culling rate'!H14,IF(Input!$F$25-Input!F26&lt;M1,0,(Input!$F$25-Input!F26-M1)/30))</f>
        <v>0</v>
      </c>
      <c r="O2" s="282">
        <f>IF(Input!$F$25-Input!F26&gt;=O1,'Culling rate'!H15,IF(Input!$F$25-Input!F26&lt;N1,0,(Input!$F$25-Input!F26-N1)/30))</f>
        <v>0</v>
      </c>
      <c r="P2" s="282">
        <f>IF(Input!$F$25-Input!F26&gt;=P1,'Culling rate'!H16,IF(Input!$F$25-Input!F26&lt;O1,0,(Input!$F$25-Input!F26-O1)/30))</f>
        <v>0</v>
      </c>
      <c r="Q2" s="282">
        <f>IF(Input!$F$25-Input!F26&gt;=Q1,'Culling rate'!H17,IF(Input!$F$25-Input!F26&lt;P1,0,(Input!$F$25-Input!F26-P1)/30))</f>
        <v>0</v>
      </c>
      <c r="R2" s="282">
        <f>IF(Input!$F$25-Input!F26&gt;=R1,'Culling rate'!H18,IF(Input!$F$25-Input!F26&lt;Q1,0,(Input!$F$25-Input!F26-Q1)/30))</f>
        <v>0</v>
      </c>
      <c r="S2" s="10"/>
      <c r="U2" s="9" t="s">
        <v>154</v>
      </c>
      <c r="V2" s="282">
        <f>'Culling rate'!I5</f>
        <v>1</v>
      </c>
      <c r="W2" s="282">
        <f>IF(Input!$F$25-Input!F26&gt;=F1,'Culling rate'!$I6,IF(Input!$F$25-Input!F26&lt;E1,0,(Input!$F$25-Input!F26-E1)/30))</f>
        <v>1</v>
      </c>
      <c r="X2" s="282">
        <f>IF(Input!$F$25-Input!F26&gt;=G1,'Culling rate'!$I7,IF(Input!$F$25-Input!F26&lt;F1,0,(Input!$F$25-Input!F26-F1)/30))</f>
        <v>1</v>
      </c>
      <c r="Y2" s="282">
        <f>IF(Input!$F$25-Input!F26&gt;=H1,'Culling rate'!$I8,IF(Input!$F$25-Input!F26&lt;G1,0,(Input!$F$25-Input!F26-G1)/30))</f>
        <v>1</v>
      </c>
      <c r="Z2" s="282">
        <f>IF(Input!$F$25-Input!F26&gt;=I1,'Culling rate'!$I9,IF(Input!$F$25-Input!F26&lt;H1,0,(Input!$F$25-Input!F26-H1)/30))</f>
        <v>0.8</v>
      </c>
      <c r="AA2" s="282">
        <f>IF(Input!$F$25-Input!F26&gt;=J1,'Culling rate'!$I10,IF(Input!$F$25-Input!F26&lt;I1,0,(Input!$F$25-Input!F26-I1)/30))</f>
        <v>0.64000000000000012</v>
      </c>
      <c r="AB2" s="282">
        <f>IF(Input!$F$25-Input!F26&gt;=K1,'Culling rate'!$I11,IF(Input!$F$25-Input!F26&lt;J1,0,(Input!$F$25-Input!F26-J1)/30))</f>
        <v>0.51200000000000012</v>
      </c>
      <c r="AC2" s="282">
        <f>IF(Input!$F$25-Input!F26&gt;=L1,'Culling rate'!$I12,IF(Input!$F$25-Input!F26&lt;K1,0,(Input!$F$25-Input!F26-K1)/30))</f>
        <v>0</v>
      </c>
      <c r="AD2" s="282">
        <f>IF(Input!$F$25-Input!F26&gt;=M1,'Culling rate'!$I13,IF(Input!$F$25-Input!F26&lt;L1,0,(Input!$F$25-Input!F26-L1)/30))</f>
        <v>0</v>
      </c>
      <c r="AE2" s="282">
        <f>IF(Input!$F$25-Input!F26&gt;=N1,'Culling rate'!$I14,IF(Input!$F$25-Input!F26&lt;M1,0,(Input!$F$25-Input!F26-M1)/30))</f>
        <v>0</v>
      </c>
      <c r="AF2" s="282">
        <f>IF(Input!$F$25-Input!F26&gt;=O1,'Culling rate'!$I15,IF(Input!$F$25-Input!F26&lt;N1,0,(Input!$F$25-Input!F26-N1)/30))</f>
        <v>0</v>
      </c>
      <c r="AG2" s="282">
        <f>IF(Input!$F$25-Input!F26&gt;=P1,'Culling rate'!$I16,IF(Input!$F$25-Input!F26&lt;O1,0,(Input!$F$25-Input!F26-O1)/30))</f>
        <v>0</v>
      </c>
      <c r="AH2" s="282">
        <f>IF(Input!$F$25-Input!F26&gt;=Q1,'Culling rate'!$I17,IF(Input!$F$25-Input!F26&lt;P1,0,(Input!$F$25-Input!F26-P1)/30))</f>
        <v>0</v>
      </c>
      <c r="AI2" s="282">
        <f>IF(Input!$F$25-Input!F26&gt;=R1,'Culling rate'!$I18,IF(Input!$F$25-Input!F26&lt;Q1,0,(Input!$F$25-Input!F26-Q1)/30))</f>
        <v>0</v>
      </c>
      <c r="AJ2" s="10"/>
      <c r="AL2" s="46"/>
      <c r="AM2" s="6" t="s">
        <v>33</v>
      </c>
      <c r="AN2" s="7">
        <f>IF(Input!$F$27='Hidden calculation alter'!AN4,1,0)</f>
        <v>1</v>
      </c>
      <c r="AO2" s="7">
        <f>IF(Input!$F$27='Hidden calculation alter'!AO4,1,0)</f>
        <v>0</v>
      </c>
      <c r="AP2" s="7">
        <f>IF(Input!$F$27='Hidden calculation alter'!AP4,1,0)</f>
        <v>0</v>
      </c>
      <c r="AQ2" s="7">
        <f>IF(Input!$F$27='Hidden calculation alter'!AQ4,1,0)</f>
        <v>0</v>
      </c>
      <c r="AR2" s="7">
        <f>IF(Input!$F$27='Hidden calculation alter'!AR4,1,0)</f>
        <v>0</v>
      </c>
      <c r="AS2" s="7">
        <f>IF(Input!$F$27='Hidden calculation alter'!AS4,1,0)</f>
        <v>0</v>
      </c>
      <c r="AT2" s="7">
        <f>IF(Input!$F$27='Hidden calculation alter'!AT4,1,0)</f>
        <v>0</v>
      </c>
      <c r="AU2" s="7">
        <f>IF(Input!$F$27='Hidden calculation alter'!AU4,1,0)</f>
        <v>0</v>
      </c>
      <c r="AV2" s="7"/>
      <c r="AW2" s="7"/>
      <c r="AX2" s="7"/>
      <c r="AY2" s="8"/>
    </row>
    <row r="3" spans="1:51" ht="13" x14ac:dyDescent="0.3">
      <c r="A3" s="9" t="s">
        <v>35</v>
      </c>
      <c r="B3" s="11">
        <f>Input!F30</f>
        <v>7692.3076923076924</v>
      </c>
      <c r="D3" s="54" t="s">
        <v>4</v>
      </c>
      <c r="E3" s="52" t="s">
        <v>2</v>
      </c>
      <c r="S3" s="10"/>
      <c r="U3" s="51" t="s">
        <v>5</v>
      </c>
      <c r="V3" s="37" t="s">
        <v>2</v>
      </c>
      <c r="AJ3" s="10"/>
      <c r="AL3" s="47"/>
      <c r="AM3" s="9"/>
      <c r="AN3">
        <v>1</v>
      </c>
      <c r="AO3">
        <v>2</v>
      </c>
      <c r="AP3">
        <v>3</v>
      </c>
      <c r="AQ3">
        <v>4</v>
      </c>
      <c r="AR3">
        <v>5</v>
      </c>
      <c r="AS3">
        <v>6</v>
      </c>
      <c r="AT3">
        <v>7</v>
      </c>
      <c r="AU3">
        <v>8</v>
      </c>
      <c r="AY3" s="10"/>
    </row>
    <row r="4" spans="1:51" ht="50" x14ac:dyDescent="0.25">
      <c r="A4" s="250" t="s">
        <v>110</v>
      </c>
      <c r="B4" s="11">
        <f>Input!F15*100</f>
        <v>85</v>
      </c>
      <c r="D4" s="50" t="s">
        <v>31</v>
      </c>
      <c r="E4" s="53">
        <v>1</v>
      </c>
      <c r="F4" s="53">
        <v>2</v>
      </c>
      <c r="G4" s="53">
        <v>3</v>
      </c>
      <c r="H4" s="53">
        <v>4</v>
      </c>
      <c r="I4" s="53">
        <v>5</v>
      </c>
      <c r="J4" s="53">
        <v>6</v>
      </c>
      <c r="K4" s="53">
        <v>7</v>
      </c>
      <c r="L4" s="53">
        <v>8</v>
      </c>
      <c r="M4" s="53">
        <v>9</v>
      </c>
      <c r="N4" s="53">
        <v>10</v>
      </c>
      <c r="O4" s="53">
        <v>11</v>
      </c>
      <c r="P4" s="53">
        <v>12</v>
      </c>
      <c r="Q4" s="53">
        <v>13</v>
      </c>
      <c r="R4" s="53">
        <v>14</v>
      </c>
      <c r="S4" s="25" t="s">
        <v>86</v>
      </c>
      <c r="U4" s="50" t="s">
        <v>31</v>
      </c>
      <c r="V4" s="37">
        <v>1</v>
      </c>
      <c r="W4" s="37">
        <v>2</v>
      </c>
      <c r="X4" s="37">
        <v>3</v>
      </c>
      <c r="Y4" s="37">
        <v>4</v>
      </c>
      <c r="Z4" s="37">
        <v>5</v>
      </c>
      <c r="AA4" s="37">
        <v>6</v>
      </c>
      <c r="AB4" s="37">
        <v>7</v>
      </c>
      <c r="AC4" s="37">
        <v>8</v>
      </c>
      <c r="AD4" s="37">
        <v>9</v>
      </c>
      <c r="AE4" s="37">
        <v>10</v>
      </c>
      <c r="AF4" s="37">
        <v>11</v>
      </c>
      <c r="AG4" s="37">
        <v>12</v>
      </c>
      <c r="AH4" s="37">
        <v>13</v>
      </c>
      <c r="AI4" s="37">
        <v>14</v>
      </c>
      <c r="AJ4" s="25" t="s">
        <v>87</v>
      </c>
      <c r="AL4" s="47"/>
      <c r="AM4" s="50" t="s">
        <v>31</v>
      </c>
      <c r="AN4" s="23" t="s">
        <v>19</v>
      </c>
      <c r="AO4" s="23" t="s">
        <v>6</v>
      </c>
      <c r="AP4" s="23" t="s">
        <v>7</v>
      </c>
      <c r="AQ4" s="23" t="s">
        <v>15</v>
      </c>
      <c r="AR4" s="23" t="s">
        <v>13</v>
      </c>
      <c r="AS4" s="23" t="s">
        <v>11</v>
      </c>
      <c r="AT4" s="23" t="s">
        <v>137</v>
      </c>
      <c r="AU4" s="23" t="s">
        <v>135</v>
      </c>
      <c r="AV4" s="23" t="s">
        <v>32</v>
      </c>
      <c r="AW4" s="23" t="s">
        <v>51</v>
      </c>
      <c r="AX4" s="23" t="s">
        <v>44</v>
      </c>
      <c r="AY4" s="25" t="s">
        <v>45</v>
      </c>
    </row>
    <row r="5" spans="1:51" x14ac:dyDescent="0.25">
      <c r="A5" s="9" t="s">
        <v>36</v>
      </c>
      <c r="B5" s="11">
        <f>'Calving input'!I17</f>
        <v>120</v>
      </c>
      <c r="D5" s="26">
        <v>1</v>
      </c>
      <c r="E5">
        <f>'Calving input'!H$16/2+'Calving input'!H$18/2</f>
        <v>3</v>
      </c>
      <c r="F5">
        <f>'Calving input'!H$15/2+'Calving input'!H$16/2</f>
        <v>3</v>
      </c>
      <c r="G5">
        <f>'Calving input'!H$14/2+'Calving input'!H$15/2</f>
        <v>3</v>
      </c>
      <c r="H5">
        <f>'Calving input'!H$13/2+'Calving input'!H$14/2</f>
        <v>3</v>
      </c>
      <c r="I5">
        <f>'Calving input'!H$12/2+'Calving input'!H$13/2</f>
        <v>3</v>
      </c>
      <c r="J5">
        <f>'Calving input'!H$11/2+'Calving input'!H$12/2</f>
        <v>3</v>
      </c>
      <c r="K5">
        <f>'Calving input'!H$10/2+'Calving input'!H$11/2</f>
        <v>3</v>
      </c>
      <c r="L5">
        <f>'Calving input'!H$9/2+'Calving input'!H$10/2</f>
        <v>3</v>
      </c>
      <c r="M5">
        <f>'Calving input'!H$8/2+'Calving input'!H$9/2</f>
        <v>3</v>
      </c>
      <c r="N5">
        <f>'Calving input'!H$7/2+'Calving input'!H$8/2</f>
        <v>3</v>
      </c>
      <c r="O5">
        <f>'Calving input'!H$6/2+'Calving input'!H$7/2</f>
        <v>3</v>
      </c>
      <c r="P5">
        <f>'Calving input'!H$5/2+'Calving input'!H$6/2</f>
        <v>3</v>
      </c>
      <c r="Q5">
        <f>'Calving input'!H$16/2+'Calving input'!H$5/2</f>
        <v>3</v>
      </c>
      <c r="R5">
        <f>'Calving input'!H$15/2+'Calving input'!H$16/2</f>
        <v>3</v>
      </c>
      <c r="S5" s="10">
        <f>ROUND(SUMPRODUCT(E5:R5,$E$2:$R$2),0)</f>
        <v>18</v>
      </c>
      <c r="U5" s="26">
        <v>1</v>
      </c>
      <c r="V5">
        <f>'Calving input'!I$16/2+'Calving input'!I$18/2</f>
        <v>10</v>
      </c>
      <c r="W5">
        <f>'Calving input'!I$15/2+'Calving input'!I$16/2</f>
        <v>10</v>
      </c>
      <c r="X5">
        <f>'Calving input'!I$14/2+'Calving input'!I$15/2</f>
        <v>10</v>
      </c>
      <c r="Y5">
        <f>'Calving input'!I$13/2+'Calving input'!I$14/2</f>
        <v>10</v>
      </c>
      <c r="Z5">
        <f>'Calving input'!I$12/2+'Calving input'!I$13/2</f>
        <v>10</v>
      </c>
      <c r="AA5">
        <f>'Calving input'!I$11/2+'Calving input'!I$12/2</f>
        <v>10</v>
      </c>
      <c r="AB5">
        <f>'Calving input'!I$10/2+'Calving input'!I$11/2</f>
        <v>10</v>
      </c>
      <c r="AC5">
        <f>'Calving input'!I$9/2+'Calving input'!I$10/2</f>
        <v>10</v>
      </c>
      <c r="AD5">
        <f>'Calving input'!I$8/2+'Calving input'!I$9/2</f>
        <v>10</v>
      </c>
      <c r="AE5">
        <f>'Calving input'!I$7/2+'Calving input'!I$8/2</f>
        <v>10</v>
      </c>
      <c r="AF5">
        <f>'Calving input'!I$6/2+'Calving input'!I$7/2</f>
        <v>10</v>
      </c>
      <c r="AG5">
        <f>'Calving input'!I$5/2+'Calving input'!I$6/2</f>
        <v>10</v>
      </c>
      <c r="AH5">
        <f>'Calving input'!I$16/2+'Calving input'!I$5/2</f>
        <v>10</v>
      </c>
      <c r="AI5">
        <f>'Calving input'!I$15/2+'Calving input'!I$16/2</f>
        <v>10</v>
      </c>
      <c r="AJ5" s="10">
        <f>ROUND(SUMPRODUCT(V5:AI5,$V$2:$AI$2),0)</f>
        <v>60</v>
      </c>
      <c r="AL5" s="48">
        <f>Input!F9</f>
        <v>45412</v>
      </c>
      <c r="AM5" s="26">
        <v>1</v>
      </c>
      <c r="AN5" s="11">
        <f>(SUMPRODUCT($E$43:$R$43,$E$2:$R$2,$E5:$R5)*$AY5+SUMPRODUCT($E$44:$R$44,$V$2:$AI$2,$V5:$AI5)*$AX5)/365</f>
        <v>1891.1243988909159</v>
      </c>
      <c r="AO5" s="11">
        <f>(SUMPRODUCT($E$45:$R$45,$E$2:$R$2,$E5:$R5)*$AY5+SUMPRODUCT($E$46:$R$46,$V$2:$AI$2,$V5:$AI5)*$AX5)/365</f>
        <v>1837.2163510342193</v>
      </c>
      <c r="AP5" s="11">
        <f>(SUMPRODUCT($E$47:$R$47,$E$2:$R$2,$E5:$R5)*$AY5+SUMPRODUCT($E$48:$R$48,$V$2:$AI$2,$V5:$AI5)*$AX5)/365</f>
        <v>1771.0907029935574</v>
      </c>
      <c r="AQ5" s="11">
        <f>(SUMPRODUCT($E$49:$R$49,$E$2:$R$2,$E5:$R5)*$AY5+SUMPRODUCT($E$50:$R$50,$V$2:$AI$2,$V5:$AI5)*$AX5)/365</f>
        <v>1791.2336035321257</v>
      </c>
      <c r="AR5" s="11">
        <f>(SUMPRODUCT($E$51:$R$51,$E$2:$R$2,$E5:$R5)*$AY5+SUMPRODUCT($E$52:$R$52,$V$2:$AI$2,$V5:$AI5)*$AX5)/365</f>
        <v>1768.1890794900676</v>
      </c>
      <c r="AS5" s="11">
        <f>(SUMPRODUCT($E$53:$R$53,$E$2:$R$2,$E5:$R5)*$AY5+SUMPRODUCT($E$54:$R$54,$V$2:$AI$2,$V5:$AI5)*$AX5)/365</f>
        <v>1821.6890294000787</v>
      </c>
      <c r="AT5" s="11">
        <f>(SUMPRODUCT($E$55:$R$55,$E$2:$R$2,$E5:$R5)*$AY5+SUMPRODUCT($E$56:$R$56,$V$2:$AI$2,$V5:$AI5)*$AX5)/365</f>
        <v>1870.4657184958796</v>
      </c>
      <c r="AU5" s="11">
        <f>(SUMPRODUCT($E$57:$R$57,$E$2:$R$2,$E5:$R5)*$AY5+SUMPRODUCT($E$58:$R$58,$V$2:$AI$2,$V5:$AI5)*$AX5)/365</f>
        <v>1806.2045146699602</v>
      </c>
      <c r="AV5" s="11">
        <f>SUMPRODUCT(AN5:AU5,$AN$2:$AU$2)</f>
        <v>1891.1243988909159</v>
      </c>
      <c r="AW5" s="15">
        <f>AV5*DAY(AL5)</f>
        <v>56733.731966727479</v>
      </c>
      <c r="AX5" s="256">
        <f>$B$11*(1+$B$17*6.62)</f>
        <v>7968.1274900398412</v>
      </c>
      <c r="AY5" s="257">
        <f>$B$12*(1+$B$17*6.62)</f>
        <v>6772.9083665338649</v>
      </c>
    </row>
    <row r="6" spans="1:51" x14ac:dyDescent="0.25">
      <c r="A6" s="9" t="s">
        <v>37</v>
      </c>
      <c r="B6" s="11">
        <f>'Calving input'!H17</f>
        <v>36</v>
      </c>
      <c r="D6" s="26">
        <v>2</v>
      </c>
      <c r="E6">
        <f>'Calving input'!H18/2+'Calving input'!H19/2</f>
        <v>3</v>
      </c>
      <c r="F6" s="24">
        <f t="shared" ref="F6:F22" si="0">E5</f>
        <v>3</v>
      </c>
      <c r="G6" s="24">
        <f t="shared" ref="G6:R21" si="1">F5</f>
        <v>3</v>
      </c>
      <c r="H6" s="24">
        <f t="shared" si="1"/>
        <v>3</v>
      </c>
      <c r="I6" s="24">
        <f t="shared" si="1"/>
        <v>3</v>
      </c>
      <c r="J6" s="24">
        <f t="shared" si="1"/>
        <v>3</v>
      </c>
      <c r="K6" s="24">
        <f t="shared" si="1"/>
        <v>3</v>
      </c>
      <c r="L6" s="24">
        <f t="shared" si="1"/>
        <v>3</v>
      </c>
      <c r="M6" s="24">
        <f t="shared" si="1"/>
        <v>3</v>
      </c>
      <c r="N6" s="24">
        <f t="shared" si="1"/>
        <v>3</v>
      </c>
      <c r="O6" s="24">
        <f t="shared" si="1"/>
        <v>3</v>
      </c>
      <c r="P6" s="24">
        <f t="shared" si="1"/>
        <v>3</v>
      </c>
      <c r="Q6" s="24">
        <f t="shared" si="1"/>
        <v>3</v>
      </c>
      <c r="R6" s="24">
        <f t="shared" si="1"/>
        <v>3</v>
      </c>
      <c r="S6" s="10">
        <f t="shared" ref="S6:S40" si="2">ROUND(SUMPRODUCT(E6:R6,$E$2:$R$2),0)</f>
        <v>18</v>
      </c>
      <c r="U6" s="26">
        <v>2</v>
      </c>
      <c r="V6">
        <f>'Calving input'!I18/2+'Calving input'!I19/2</f>
        <v>10</v>
      </c>
      <c r="W6" s="24">
        <f t="shared" ref="W6:W22" si="3">V5</f>
        <v>10</v>
      </c>
      <c r="X6" s="24">
        <f t="shared" ref="X6:AI21" si="4">W5</f>
        <v>10</v>
      </c>
      <c r="Y6" s="24">
        <f t="shared" si="4"/>
        <v>10</v>
      </c>
      <c r="Z6" s="24">
        <f t="shared" si="4"/>
        <v>10</v>
      </c>
      <c r="AA6" s="24">
        <f t="shared" si="4"/>
        <v>10</v>
      </c>
      <c r="AB6" s="24">
        <f t="shared" si="4"/>
        <v>10</v>
      </c>
      <c r="AC6" s="24">
        <f t="shared" si="4"/>
        <v>10</v>
      </c>
      <c r="AD6" s="24">
        <f t="shared" si="4"/>
        <v>10</v>
      </c>
      <c r="AE6" s="24">
        <f t="shared" si="4"/>
        <v>10</v>
      </c>
      <c r="AF6" s="24">
        <f t="shared" si="4"/>
        <v>10</v>
      </c>
      <c r="AG6" s="24">
        <f t="shared" si="4"/>
        <v>10</v>
      </c>
      <c r="AH6" s="24">
        <f t="shared" si="4"/>
        <v>10</v>
      </c>
      <c r="AI6" s="24">
        <f t="shared" si="4"/>
        <v>10</v>
      </c>
      <c r="AJ6" s="10">
        <f t="shared" ref="AJ6:AJ40" si="5">ROUND(SUMPRODUCT(V6:AI6,$V$2:$AI$2),0)</f>
        <v>60</v>
      </c>
      <c r="AL6" s="48">
        <f>EOMONTH(AL5,1)</f>
        <v>45443</v>
      </c>
      <c r="AM6" s="26">
        <v>2</v>
      </c>
      <c r="AN6" s="11">
        <f t="shared" ref="AN6:AN40" si="6">(SUMPRODUCT($E$43:$R$43,$E$2:$R$2,$E6:$R6)*$AY6+SUMPRODUCT($E$44:$R$44,$V$2:$AI$2,$V6:$AI6)*$AX6)/365</f>
        <v>1891.1243988909159</v>
      </c>
      <c r="AO6" s="11">
        <f t="shared" ref="AO6:AO40" si="7">(SUMPRODUCT($E$45:$R$45,$E$2:$R$2,$E6:$R6)*$AY6+SUMPRODUCT($E$46:$R$46,$V$2:$AI$2,$V6:$AI6)*$AX6)/365</f>
        <v>1837.2163510342193</v>
      </c>
      <c r="AP6" s="11">
        <f t="shared" ref="AP6:AP40" si="8">(SUMPRODUCT($E$47:$R$47,$E$2:$R$2,$E6:$R6)*$AY6+SUMPRODUCT($E$48:$R$48,$V$2:$AI$2,$V6:$AI6)*$AX6)/365</f>
        <v>1771.0907029935574</v>
      </c>
      <c r="AQ6" s="11">
        <f t="shared" ref="AQ6:AQ40" si="9">(SUMPRODUCT($E$49:$R$49,$E$2:$R$2,$E6:$R6)*$AY6+SUMPRODUCT($E$50:$R$50,$V$2:$AI$2,$V6:$AI6)*$AX6)/365</f>
        <v>1791.2336035321257</v>
      </c>
      <c r="AR6" s="11">
        <f t="shared" ref="AR6:AR40" si="10">(SUMPRODUCT($E$51:$R$51,$E$2:$R$2,$E6:$R6)*$AY6+SUMPRODUCT($E$52:$R$52,$V$2:$AI$2,$V6:$AI6)*$AX6)/365</f>
        <v>1768.1890794900676</v>
      </c>
      <c r="AS6" s="11">
        <f t="shared" ref="AS6:AS40" si="11">(SUMPRODUCT($E$53:$R$53,$E$2:$R$2,$E6:$R6)*$AY6+SUMPRODUCT($E$54:$R$54,$V$2:$AI$2,$V6:$AI6)*$AX6)/365</f>
        <v>1821.6890294000787</v>
      </c>
      <c r="AT6" s="11">
        <f t="shared" ref="AT6:AT40" si="12">(SUMPRODUCT($E$55:$R$55,$E$2:$R$2,$E6:$R6)*$AY6+SUMPRODUCT($E$56:$R$56,$V$2:$AI$2,$V6:$AI6)*$AX6)/365</f>
        <v>1870.4657184958796</v>
      </c>
      <c r="AU6" s="11">
        <f t="shared" ref="AU6:AU40" si="13">(SUMPRODUCT($E$57:$R$57,$E$2:$R$2,$E6:$R6)*$AY6+SUMPRODUCT($E$58:$R$58,$V$2:$AI$2,$V6:$AI6)*$AX6)/365</f>
        <v>1806.2045146699602</v>
      </c>
      <c r="AV6" s="11">
        <f t="shared" ref="AV6:AV40" si="14">SUMPRODUCT(AN6:AU6,$AN$2:$AU$2)</f>
        <v>1891.1243988909159</v>
      </c>
      <c r="AW6" s="15">
        <f t="shared" ref="AW6:AW40" si="15">AV6*DAY(AL6)</f>
        <v>58624.856365618391</v>
      </c>
      <c r="AX6" s="15">
        <f>AX5*(1+$B$17)</f>
        <v>7968.1274900398412</v>
      </c>
      <c r="AY6" s="44">
        <f>AY5*(1+$B$17)</f>
        <v>6772.9083665338649</v>
      </c>
    </row>
    <row r="7" spans="1:51" x14ac:dyDescent="0.25">
      <c r="A7" s="9" t="s">
        <v>38</v>
      </c>
      <c r="B7" s="11">
        <f>B6*B4/100</f>
        <v>30.6</v>
      </c>
      <c r="D7" s="26">
        <v>3</v>
      </c>
      <c r="E7">
        <f>'Calving input'!H19/2+'Calving input'!H20/2</f>
        <v>3</v>
      </c>
      <c r="F7" s="24">
        <f t="shared" si="0"/>
        <v>3</v>
      </c>
      <c r="G7" s="24">
        <f t="shared" si="1"/>
        <v>3</v>
      </c>
      <c r="H7" s="24">
        <f t="shared" si="1"/>
        <v>3</v>
      </c>
      <c r="I7" s="24">
        <f t="shared" si="1"/>
        <v>3</v>
      </c>
      <c r="J7" s="24">
        <f t="shared" si="1"/>
        <v>3</v>
      </c>
      <c r="K7" s="24">
        <f t="shared" si="1"/>
        <v>3</v>
      </c>
      <c r="L7" s="24">
        <f t="shared" si="1"/>
        <v>3</v>
      </c>
      <c r="M7" s="24">
        <f t="shared" si="1"/>
        <v>3</v>
      </c>
      <c r="N7" s="24">
        <f t="shared" si="1"/>
        <v>3</v>
      </c>
      <c r="O7" s="24">
        <f t="shared" si="1"/>
        <v>3</v>
      </c>
      <c r="P7" s="24">
        <f t="shared" si="1"/>
        <v>3</v>
      </c>
      <c r="Q7" s="24">
        <f t="shared" si="1"/>
        <v>3</v>
      </c>
      <c r="R7" s="24">
        <f t="shared" si="1"/>
        <v>3</v>
      </c>
      <c r="S7" s="10">
        <f t="shared" si="2"/>
        <v>18</v>
      </c>
      <c r="U7" s="26">
        <v>3</v>
      </c>
      <c r="V7">
        <f>'Calving input'!I19/2+'Calving input'!I20/2</f>
        <v>10</v>
      </c>
      <c r="W7" s="24">
        <f t="shared" si="3"/>
        <v>10</v>
      </c>
      <c r="X7" s="24">
        <f t="shared" si="4"/>
        <v>10</v>
      </c>
      <c r="Y7" s="24">
        <f t="shared" si="4"/>
        <v>10</v>
      </c>
      <c r="Z7" s="24">
        <f t="shared" si="4"/>
        <v>10</v>
      </c>
      <c r="AA7" s="24">
        <f t="shared" si="4"/>
        <v>10</v>
      </c>
      <c r="AB7" s="24">
        <f t="shared" si="4"/>
        <v>10</v>
      </c>
      <c r="AC7" s="24">
        <f t="shared" si="4"/>
        <v>10</v>
      </c>
      <c r="AD7" s="24">
        <f t="shared" si="4"/>
        <v>10</v>
      </c>
      <c r="AE7" s="24">
        <f t="shared" si="4"/>
        <v>10</v>
      </c>
      <c r="AF7" s="24">
        <f t="shared" si="4"/>
        <v>10</v>
      </c>
      <c r="AG7" s="24">
        <f t="shared" si="4"/>
        <v>10</v>
      </c>
      <c r="AH7" s="24">
        <f t="shared" si="4"/>
        <v>10</v>
      </c>
      <c r="AI7" s="24">
        <f t="shared" si="4"/>
        <v>10</v>
      </c>
      <c r="AJ7" s="10">
        <f t="shared" si="5"/>
        <v>60</v>
      </c>
      <c r="AL7" s="48">
        <f t="shared" ref="AL7:AL40" si="16">EOMONTH(AL6,1)</f>
        <v>45473</v>
      </c>
      <c r="AM7" s="26">
        <v>3</v>
      </c>
      <c r="AN7" s="11">
        <f t="shared" si="6"/>
        <v>1891.1243988909159</v>
      </c>
      <c r="AO7" s="11">
        <f t="shared" si="7"/>
        <v>1837.2163510342193</v>
      </c>
      <c r="AP7" s="11">
        <f t="shared" si="8"/>
        <v>1771.0907029935574</v>
      </c>
      <c r="AQ7" s="11">
        <f t="shared" si="9"/>
        <v>1791.2336035321257</v>
      </c>
      <c r="AR7" s="11">
        <f t="shared" si="10"/>
        <v>1768.1890794900676</v>
      </c>
      <c r="AS7" s="11">
        <f t="shared" si="11"/>
        <v>1821.6890294000787</v>
      </c>
      <c r="AT7" s="11">
        <f t="shared" si="12"/>
        <v>1870.4657184958796</v>
      </c>
      <c r="AU7" s="11">
        <f t="shared" si="13"/>
        <v>1806.2045146699602</v>
      </c>
      <c r="AV7" s="11">
        <f t="shared" si="14"/>
        <v>1891.1243988909159</v>
      </c>
      <c r="AW7" s="15">
        <f t="shared" si="15"/>
        <v>56733.731966727479</v>
      </c>
      <c r="AX7" s="15">
        <f t="shared" ref="AX7:AX40" si="17">AX6*(1+$B$17)</f>
        <v>7968.1274900398412</v>
      </c>
      <c r="AY7" s="44">
        <f t="shared" ref="AY7:AY40" si="18">AY6*(1+$B$17)</f>
        <v>6772.9083665338649</v>
      </c>
    </row>
    <row r="8" spans="1:51" x14ac:dyDescent="0.25">
      <c r="A8" s="9" t="s">
        <v>39</v>
      </c>
      <c r="B8" s="11"/>
      <c r="D8" s="26">
        <v>4</v>
      </c>
      <c r="E8">
        <f>'Calving input'!H20/2+'Calving input'!H21/2</f>
        <v>3</v>
      </c>
      <c r="F8" s="24">
        <f t="shared" si="0"/>
        <v>3</v>
      </c>
      <c r="G8" s="24">
        <f t="shared" si="1"/>
        <v>3</v>
      </c>
      <c r="H8" s="24">
        <f t="shared" si="1"/>
        <v>3</v>
      </c>
      <c r="I8" s="24">
        <f t="shared" si="1"/>
        <v>3</v>
      </c>
      <c r="J8" s="24">
        <f t="shared" si="1"/>
        <v>3</v>
      </c>
      <c r="K8" s="24">
        <f t="shared" si="1"/>
        <v>3</v>
      </c>
      <c r="L8" s="24">
        <f t="shared" si="1"/>
        <v>3</v>
      </c>
      <c r="M8" s="24">
        <f t="shared" si="1"/>
        <v>3</v>
      </c>
      <c r="N8" s="24">
        <f t="shared" si="1"/>
        <v>3</v>
      </c>
      <c r="O8" s="24">
        <f t="shared" si="1"/>
        <v>3</v>
      </c>
      <c r="P8" s="24">
        <f t="shared" si="1"/>
        <v>3</v>
      </c>
      <c r="Q8" s="24">
        <f t="shared" si="1"/>
        <v>3</v>
      </c>
      <c r="R8" s="24">
        <f t="shared" si="1"/>
        <v>3</v>
      </c>
      <c r="S8" s="10">
        <f t="shared" si="2"/>
        <v>18</v>
      </c>
      <c r="U8" s="26">
        <v>4</v>
      </c>
      <c r="V8">
        <f>'Calving input'!I20/2+'Calving input'!I21/2</f>
        <v>10</v>
      </c>
      <c r="W8" s="24">
        <f t="shared" si="3"/>
        <v>10</v>
      </c>
      <c r="X8" s="24">
        <f t="shared" si="4"/>
        <v>10</v>
      </c>
      <c r="Y8" s="24">
        <f t="shared" si="4"/>
        <v>10</v>
      </c>
      <c r="Z8" s="24">
        <f t="shared" si="4"/>
        <v>10</v>
      </c>
      <c r="AA8" s="24">
        <f t="shared" si="4"/>
        <v>10</v>
      </c>
      <c r="AB8" s="24">
        <f t="shared" si="4"/>
        <v>10</v>
      </c>
      <c r="AC8" s="24">
        <f t="shared" si="4"/>
        <v>10</v>
      </c>
      <c r="AD8" s="24">
        <f t="shared" si="4"/>
        <v>10</v>
      </c>
      <c r="AE8" s="24">
        <f t="shared" si="4"/>
        <v>10</v>
      </c>
      <c r="AF8" s="24">
        <f t="shared" si="4"/>
        <v>10</v>
      </c>
      <c r="AG8" s="24">
        <f t="shared" si="4"/>
        <v>10</v>
      </c>
      <c r="AH8" s="24">
        <f t="shared" si="4"/>
        <v>10</v>
      </c>
      <c r="AI8" s="24">
        <f t="shared" si="4"/>
        <v>10</v>
      </c>
      <c r="AJ8" s="10">
        <f t="shared" si="5"/>
        <v>60</v>
      </c>
      <c r="AL8" s="48">
        <f t="shared" si="16"/>
        <v>45504</v>
      </c>
      <c r="AM8" s="26">
        <v>4</v>
      </c>
      <c r="AN8" s="11">
        <f t="shared" si="6"/>
        <v>1891.1243988909159</v>
      </c>
      <c r="AO8" s="11">
        <f t="shared" si="7"/>
        <v>1837.2163510342193</v>
      </c>
      <c r="AP8" s="11">
        <f t="shared" si="8"/>
        <v>1771.0907029935574</v>
      </c>
      <c r="AQ8" s="11">
        <f t="shared" si="9"/>
        <v>1791.2336035321257</v>
      </c>
      <c r="AR8" s="11">
        <f t="shared" si="10"/>
        <v>1768.1890794900676</v>
      </c>
      <c r="AS8" s="11">
        <f t="shared" si="11"/>
        <v>1821.6890294000787</v>
      </c>
      <c r="AT8" s="11">
        <f t="shared" si="12"/>
        <v>1870.4657184958796</v>
      </c>
      <c r="AU8" s="11">
        <f t="shared" si="13"/>
        <v>1806.2045146699602</v>
      </c>
      <c r="AV8" s="11">
        <f t="shared" si="14"/>
        <v>1891.1243988909159</v>
      </c>
      <c r="AW8" s="15">
        <f t="shared" si="15"/>
        <v>58624.856365618391</v>
      </c>
      <c r="AX8" s="15">
        <f t="shared" si="17"/>
        <v>7968.1274900398412</v>
      </c>
      <c r="AY8" s="44">
        <f t="shared" si="18"/>
        <v>6772.9083665338649</v>
      </c>
    </row>
    <row r="9" spans="1:51" x14ac:dyDescent="0.25">
      <c r="A9" s="9" t="s">
        <v>40</v>
      </c>
      <c r="B9" s="11">
        <f>B7+B5</f>
        <v>150.6</v>
      </c>
      <c r="D9" s="26">
        <v>5</v>
      </c>
      <c r="E9">
        <f>'Calving input'!H21/2+'Calving input'!H22/2</f>
        <v>3</v>
      </c>
      <c r="F9" s="24">
        <f t="shared" si="0"/>
        <v>3</v>
      </c>
      <c r="G9" s="24">
        <f t="shared" si="1"/>
        <v>3</v>
      </c>
      <c r="H9" s="24">
        <f t="shared" si="1"/>
        <v>3</v>
      </c>
      <c r="I9" s="24">
        <f t="shared" si="1"/>
        <v>3</v>
      </c>
      <c r="J9" s="24">
        <f t="shared" si="1"/>
        <v>3</v>
      </c>
      <c r="K9" s="24">
        <f t="shared" si="1"/>
        <v>3</v>
      </c>
      <c r="L9" s="24">
        <f t="shared" si="1"/>
        <v>3</v>
      </c>
      <c r="M9" s="24">
        <f t="shared" si="1"/>
        <v>3</v>
      </c>
      <c r="N9" s="24">
        <f t="shared" si="1"/>
        <v>3</v>
      </c>
      <c r="O9" s="24">
        <f t="shared" si="1"/>
        <v>3</v>
      </c>
      <c r="P9" s="24">
        <f t="shared" si="1"/>
        <v>3</v>
      </c>
      <c r="Q9" s="24">
        <f t="shared" si="1"/>
        <v>3</v>
      </c>
      <c r="R9" s="24">
        <f t="shared" si="1"/>
        <v>3</v>
      </c>
      <c r="S9" s="10">
        <f t="shared" si="2"/>
        <v>18</v>
      </c>
      <c r="U9" s="26">
        <v>5</v>
      </c>
      <c r="V9">
        <f>'Calving input'!I21/2+'Calving input'!I22/2</f>
        <v>10</v>
      </c>
      <c r="W9" s="24">
        <f t="shared" si="3"/>
        <v>10</v>
      </c>
      <c r="X9" s="24">
        <f t="shared" si="4"/>
        <v>10</v>
      </c>
      <c r="Y9" s="24">
        <f t="shared" si="4"/>
        <v>10</v>
      </c>
      <c r="Z9" s="24">
        <f t="shared" si="4"/>
        <v>10</v>
      </c>
      <c r="AA9" s="24">
        <f t="shared" si="4"/>
        <v>10</v>
      </c>
      <c r="AB9" s="24">
        <f t="shared" si="4"/>
        <v>10</v>
      </c>
      <c r="AC9" s="24">
        <f t="shared" si="4"/>
        <v>10</v>
      </c>
      <c r="AD9" s="24">
        <f t="shared" si="4"/>
        <v>10</v>
      </c>
      <c r="AE9" s="24">
        <f t="shared" si="4"/>
        <v>10</v>
      </c>
      <c r="AF9" s="24">
        <f t="shared" si="4"/>
        <v>10</v>
      </c>
      <c r="AG9" s="24">
        <f t="shared" si="4"/>
        <v>10</v>
      </c>
      <c r="AH9" s="24">
        <f t="shared" si="4"/>
        <v>10</v>
      </c>
      <c r="AI9" s="24">
        <f t="shared" si="4"/>
        <v>10</v>
      </c>
      <c r="AJ9" s="10">
        <f t="shared" si="5"/>
        <v>60</v>
      </c>
      <c r="AL9" s="48">
        <f t="shared" si="16"/>
        <v>45535</v>
      </c>
      <c r="AM9" s="26">
        <v>5</v>
      </c>
      <c r="AN9" s="11">
        <f t="shared" si="6"/>
        <v>1891.1243988909159</v>
      </c>
      <c r="AO9" s="11">
        <f t="shared" si="7"/>
        <v>1837.2163510342193</v>
      </c>
      <c r="AP9" s="11">
        <f t="shared" si="8"/>
        <v>1771.0907029935574</v>
      </c>
      <c r="AQ9" s="11">
        <f t="shared" si="9"/>
        <v>1791.2336035321257</v>
      </c>
      <c r="AR9" s="11">
        <f t="shared" si="10"/>
        <v>1768.1890794900676</v>
      </c>
      <c r="AS9" s="11">
        <f t="shared" si="11"/>
        <v>1821.6890294000787</v>
      </c>
      <c r="AT9" s="11">
        <f t="shared" si="12"/>
        <v>1870.4657184958796</v>
      </c>
      <c r="AU9" s="11">
        <f t="shared" si="13"/>
        <v>1806.2045146699602</v>
      </c>
      <c r="AV9" s="11">
        <f t="shared" si="14"/>
        <v>1891.1243988909159</v>
      </c>
      <c r="AW9" s="15">
        <f t="shared" si="15"/>
        <v>58624.856365618391</v>
      </c>
      <c r="AX9" s="15">
        <f t="shared" si="17"/>
        <v>7968.1274900398412</v>
      </c>
      <c r="AY9" s="44">
        <f t="shared" si="18"/>
        <v>6772.9083665338649</v>
      </c>
    </row>
    <row r="10" spans="1:51" x14ac:dyDescent="0.25">
      <c r="A10" s="9" t="s">
        <v>41</v>
      </c>
      <c r="B10" s="11">
        <f>IF(B9&gt;0,((B5+B6)*B3)/B9,0)</f>
        <v>7968.1274900398412</v>
      </c>
      <c r="D10" s="26">
        <v>6</v>
      </c>
      <c r="E10">
        <f>'Calving input'!H22/2+'Calving input'!H23/2</f>
        <v>3</v>
      </c>
      <c r="F10" s="24">
        <f t="shared" si="0"/>
        <v>3</v>
      </c>
      <c r="G10" s="24">
        <f t="shared" si="1"/>
        <v>3</v>
      </c>
      <c r="H10" s="24">
        <f t="shared" si="1"/>
        <v>3</v>
      </c>
      <c r="I10" s="24">
        <f t="shared" si="1"/>
        <v>3</v>
      </c>
      <c r="J10" s="24">
        <f t="shared" si="1"/>
        <v>3</v>
      </c>
      <c r="K10" s="24">
        <f t="shared" si="1"/>
        <v>3</v>
      </c>
      <c r="L10" s="24">
        <f t="shared" si="1"/>
        <v>3</v>
      </c>
      <c r="M10" s="24">
        <f t="shared" si="1"/>
        <v>3</v>
      </c>
      <c r="N10" s="24">
        <f t="shared" si="1"/>
        <v>3</v>
      </c>
      <c r="O10" s="24">
        <f t="shared" si="1"/>
        <v>3</v>
      </c>
      <c r="P10" s="24">
        <f t="shared" si="1"/>
        <v>3</v>
      </c>
      <c r="Q10" s="24">
        <f t="shared" si="1"/>
        <v>3</v>
      </c>
      <c r="R10" s="24">
        <f t="shared" si="1"/>
        <v>3</v>
      </c>
      <c r="S10" s="10">
        <f t="shared" si="2"/>
        <v>18</v>
      </c>
      <c r="U10" s="26">
        <v>6</v>
      </c>
      <c r="V10">
        <f>'Calving input'!I22/2+'Calving input'!I23/2</f>
        <v>10</v>
      </c>
      <c r="W10" s="24">
        <f t="shared" si="3"/>
        <v>10</v>
      </c>
      <c r="X10" s="24">
        <f t="shared" si="4"/>
        <v>10</v>
      </c>
      <c r="Y10" s="24">
        <f t="shared" si="4"/>
        <v>10</v>
      </c>
      <c r="Z10" s="24">
        <f t="shared" si="4"/>
        <v>10</v>
      </c>
      <c r="AA10" s="24">
        <f t="shared" si="4"/>
        <v>10</v>
      </c>
      <c r="AB10" s="24">
        <f t="shared" si="4"/>
        <v>10</v>
      </c>
      <c r="AC10" s="24">
        <f t="shared" si="4"/>
        <v>10</v>
      </c>
      <c r="AD10" s="24">
        <f t="shared" si="4"/>
        <v>10</v>
      </c>
      <c r="AE10" s="24">
        <f t="shared" si="4"/>
        <v>10</v>
      </c>
      <c r="AF10" s="24">
        <f t="shared" si="4"/>
        <v>10</v>
      </c>
      <c r="AG10" s="24">
        <f t="shared" si="4"/>
        <v>10</v>
      </c>
      <c r="AH10" s="24">
        <f t="shared" si="4"/>
        <v>10</v>
      </c>
      <c r="AI10" s="24">
        <f t="shared" si="4"/>
        <v>10</v>
      </c>
      <c r="AJ10" s="10">
        <f t="shared" si="5"/>
        <v>60</v>
      </c>
      <c r="AL10" s="48">
        <f t="shared" si="16"/>
        <v>45565</v>
      </c>
      <c r="AM10" s="26">
        <v>6</v>
      </c>
      <c r="AN10" s="11">
        <f t="shared" si="6"/>
        <v>1891.1243988909159</v>
      </c>
      <c r="AO10" s="11">
        <f t="shared" si="7"/>
        <v>1837.2163510342193</v>
      </c>
      <c r="AP10" s="11">
        <f t="shared" si="8"/>
        <v>1771.0907029935574</v>
      </c>
      <c r="AQ10" s="11">
        <f t="shared" si="9"/>
        <v>1791.2336035321257</v>
      </c>
      <c r="AR10" s="11">
        <f t="shared" si="10"/>
        <v>1768.1890794900676</v>
      </c>
      <c r="AS10" s="11">
        <f t="shared" si="11"/>
        <v>1821.6890294000787</v>
      </c>
      <c r="AT10" s="11">
        <f t="shared" si="12"/>
        <v>1870.4657184958796</v>
      </c>
      <c r="AU10" s="11">
        <f t="shared" si="13"/>
        <v>1806.2045146699602</v>
      </c>
      <c r="AV10" s="11">
        <f t="shared" si="14"/>
        <v>1891.1243988909159</v>
      </c>
      <c r="AW10" s="15">
        <f t="shared" si="15"/>
        <v>56733.731966727479</v>
      </c>
      <c r="AX10" s="15">
        <f t="shared" si="17"/>
        <v>7968.1274900398412</v>
      </c>
      <c r="AY10" s="44">
        <f t="shared" si="18"/>
        <v>6772.9083665338649</v>
      </c>
    </row>
    <row r="11" spans="1:51" x14ac:dyDescent="0.25">
      <c r="A11" s="9" t="s">
        <v>89</v>
      </c>
      <c r="B11" s="11">
        <f>B10</f>
        <v>7968.1274900398412</v>
      </c>
      <c r="D11" s="26">
        <v>7</v>
      </c>
      <c r="E11">
        <f>'Calving input'!H23/2+'Calving input'!H24/2</f>
        <v>3</v>
      </c>
      <c r="F11" s="24">
        <f t="shared" si="0"/>
        <v>3</v>
      </c>
      <c r="G11" s="24">
        <f t="shared" si="1"/>
        <v>3</v>
      </c>
      <c r="H11" s="24">
        <f t="shared" si="1"/>
        <v>3</v>
      </c>
      <c r="I11" s="24">
        <f t="shared" si="1"/>
        <v>3</v>
      </c>
      <c r="J11" s="24">
        <f t="shared" si="1"/>
        <v>3</v>
      </c>
      <c r="K11" s="24">
        <f t="shared" si="1"/>
        <v>3</v>
      </c>
      <c r="L11" s="24">
        <f t="shared" si="1"/>
        <v>3</v>
      </c>
      <c r="M11" s="24">
        <f t="shared" si="1"/>
        <v>3</v>
      </c>
      <c r="N11" s="24">
        <f t="shared" si="1"/>
        <v>3</v>
      </c>
      <c r="O11" s="24">
        <f t="shared" si="1"/>
        <v>3</v>
      </c>
      <c r="P11" s="24">
        <f t="shared" si="1"/>
        <v>3</v>
      </c>
      <c r="Q11" s="24">
        <f t="shared" si="1"/>
        <v>3</v>
      </c>
      <c r="R11" s="24">
        <f t="shared" si="1"/>
        <v>3</v>
      </c>
      <c r="S11" s="10">
        <f t="shared" si="2"/>
        <v>18</v>
      </c>
      <c r="U11" s="26">
        <v>7</v>
      </c>
      <c r="V11">
        <f>'Calving input'!I23/2+'Calving input'!I24/2</f>
        <v>10</v>
      </c>
      <c r="W11" s="24">
        <f t="shared" si="3"/>
        <v>10</v>
      </c>
      <c r="X11" s="24">
        <f t="shared" si="4"/>
        <v>10</v>
      </c>
      <c r="Y11" s="24">
        <f t="shared" si="4"/>
        <v>10</v>
      </c>
      <c r="Z11" s="24">
        <f t="shared" si="4"/>
        <v>10</v>
      </c>
      <c r="AA11" s="24">
        <f t="shared" si="4"/>
        <v>10</v>
      </c>
      <c r="AB11" s="24">
        <f t="shared" si="4"/>
        <v>10</v>
      </c>
      <c r="AC11" s="24">
        <f t="shared" si="4"/>
        <v>10</v>
      </c>
      <c r="AD11" s="24">
        <f t="shared" si="4"/>
        <v>10</v>
      </c>
      <c r="AE11" s="24">
        <f t="shared" si="4"/>
        <v>10</v>
      </c>
      <c r="AF11" s="24">
        <f t="shared" si="4"/>
        <v>10</v>
      </c>
      <c r="AG11" s="24">
        <f t="shared" si="4"/>
        <v>10</v>
      </c>
      <c r="AH11" s="24">
        <f t="shared" si="4"/>
        <v>10</v>
      </c>
      <c r="AI11" s="24">
        <f t="shared" si="4"/>
        <v>10</v>
      </c>
      <c r="AJ11" s="10">
        <f t="shared" si="5"/>
        <v>60</v>
      </c>
      <c r="AL11" s="48">
        <f t="shared" si="16"/>
        <v>45596</v>
      </c>
      <c r="AM11" s="26">
        <v>7</v>
      </c>
      <c r="AN11" s="11">
        <f t="shared" si="6"/>
        <v>1891.1243988909159</v>
      </c>
      <c r="AO11" s="11">
        <f t="shared" si="7"/>
        <v>1837.2163510342193</v>
      </c>
      <c r="AP11" s="11">
        <f t="shared" si="8"/>
        <v>1771.0907029935574</v>
      </c>
      <c r="AQ11" s="11">
        <f t="shared" si="9"/>
        <v>1791.2336035321257</v>
      </c>
      <c r="AR11" s="11">
        <f t="shared" si="10"/>
        <v>1768.1890794900676</v>
      </c>
      <c r="AS11" s="11">
        <f t="shared" si="11"/>
        <v>1821.6890294000787</v>
      </c>
      <c r="AT11" s="11">
        <f t="shared" si="12"/>
        <v>1870.4657184958796</v>
      </c>
      <c r="AU11" s="11">
        <f t="shared" si="13"/>
        <v>1806.2045146699602</v>
      </c>
      <c r="AV11" s="11">
        <f t="shared" si="14"/>
        <v>1891.1243988909159</v>
      </c>
      <c r="AW11" s="15">
        <f t="shared" si="15"/>
        <v>58624.856365618391</v>
      </c>
      <c r="AX11" s="15">
        <f t="shared" si="17"/>
        <v>7968.1274900398412</v>
      </c>
      <c r="AY11" s="44">
        <f t="shared" si="18"/>
        <v>6772.9083665338649</v>
      </c>
    </row>
    <row r="12" spans="1:51" ht="13" thickBot="1" x14ac:dyDescent="0.3">
      <c r="A12" s="12" t="s">
        <v>42</v>
      </c>
      <c r="B12" s="13">
        <f>B11*B4/100</f>
        <v>6772.9083665338649</v>
      </c>
      <c r="D12" s="26">
        <v>8</v>
      </c>
      <c r="E12">
        <f>'Calving input'!H24/2+'Calving input'!H25/2</f>
        <v>3</v>
      </c>
      <c r="F12" s="24">
        <f t="shared" si="0"/>
        <v>3</v>
      </c>
      <c r="G12" s="24">
        <f t="shared" si="1"/>
        <v>3</v>
      </c>
      <c r="H12" s="24">
        <f t="shared" si="1"/>
        <v>3</v>
      </c>
      <c r="I12" s="24">
        <f t="shared" si="1"/>
        <v>3</v>
      </c>
      <c r="J12" s="24">
        <f t="shared" si="1"/>
        <v>3</v>
      </c>
      <c r="K12" s="24">
        <f t="shared" si="1"/>
        <v>3</v>
      </c>
      <c r="L12" s="24">
        <f t="shared" si="1"/>
        <v>3</v>
      </c>
      <c r="M12" s="24">
        <f t="shared" si="1"/>
        <v>3</v>
      </c>
      <c r="N12" s="24">
        <f t="shared" si="1"/>
        <v>3</v>
      </c>
      <c r="O12" s="24">
        <f t="shared" si="1"/>
        <v>3</v>
      </c>
      <c r="P12" s="24">
        <f t="shared" si="1"/>
        <v>3</v>
      </c>
      <c r="Q12" s="24">
        <f t="shared" si="1"/>
        <v>3</v>
      </c>
      <c r="R12" s="24">
        <f t="shared" si="1"/>
        <v>3</v>
      </c>
      <c r="S12" s="10">
        <f t="shared" si="2"/>
        <v>18</v>
      </c>
      <c r="U12" s="26">
        <v>8</v>
      </c>
      <c r="V12">
        <f>'Calving input'!I24/2+'Calving input'!I25/2</f>
        <v>10</v>
      </c>
      <c r="W12" s="24">
        <f t="shared" si="3"/>
        <v>10</v>
      </c>
      <c r="X12" s="24">
        <f t="shared" si="4"/>
        <v>10</v>
      </c>
      <c r="Y12" s="24">
        <f t="shared" si="4"/>
        <v>10</v>
      </c>
      <c r="Z12" s="24">
        <f t="shared" si="4"/>
        <v>10</v>
      </c>
      <c r="AA12" s="24">
        <f t="shared" si="4"/>
        <v>10</v>
      </c>
      <c r="AB12" s="24">
        <f t="shared" si="4"/>
        <v>10</v>
      </c>
      <c r="AC12" s="24">
        <f t="shared" si="4"/>
        <v>10</v>
      </c>
      <c r="AD12" s="24">
        <f t="shared" si="4"/>
        <v>10</v>
      </c>
      <c r="AE12" s="24">
        <f t="shared" si="4"/>
        <v>10</v>
      </c>
      <c r="AF12" s="24">
        <f t="shared" si="4"/>
        <v>10</v>
      </c>
      <c r="AG12" s="24">
        <f t="shared" si="4"/>
        <v>10</v>
      </c>
      <c r="AH12" s="24">
        <f t="shared" si="4"/>
        <v>10</v>
      </c>
      <c r="AI12" s="24">
        <f t="shared" si="4"/>
        <v>10</v>
      </c>
      <c r="AJ12" s="10">
        <f t="shared" si="5"/>
        <v>60</v>
      </c>
      <c r="AL12" s="48">
        <f t="shared" si="16"/>
        <v>45626</v>
      </c>
      <c r="AM12" s="26">
        <v>8</v>
      </c>
      <c r="AN12" s="11">
        <f t="shared" si="6"/>
        <v>1891.1243988909159</v>
      </c>
      <c r="AO12" s="11">
        <f t="shared" si="7"/>
        <v>1837.2163510342193</v>
      </c>
      <c r="AP12" s="11">
        <f t="shared" si="8"/>
        <v>1771.0907029935574</v>
      </c>
      <c r="AQ12" s="11">
        <f t="shared" si="9"/>
        <v>1791.2336035321257</v>
      </c>
      <c r="AR12" s="11">
        <f t="shared" si="10"/>
        <v>1768.1890794900676</v>
      </c>
      <c r="AS12" s="11">
        <f t="shared" si="11"/>
        <v>1821.6890294000787</v>
      </c>
      <c r="AT12" s="11">
        <f t="shared" si="12"/>
        <v>1870.4657184958796</v>
      </c>
      <c r="AU12" s="11">
        <f t="shared" si="13"/>
        <v>1806.2045146699602</v>
      </c>
      <c r="AV12" s="11">
        <f t="shared" si="14"/>
        <v>1891.1243988909159</v>
      </c>
      <c r="AW12" s="15">
        <f t="shared" si="15"/>
        <v>56733.731966727479</v>
      </c>
      <c r="AX12" s="15">
        <f t="shared" si="17"/>
        <v>7968.1274900398412</v>
      </c>
      <c r="AY12" s="44">
        <f t="shared" si="18"/>
        <v>6772.9083665338649</v>
      </c>
    </row>
    <row r="13" spans="1:51" x14ac:dyDescent="0.25">
      <c r="A13" s="6"/>
      <c r="B13" s="7"/>
      <c r="D13" s="26">
        <v>9</v>
      </c>
      <c r="E13">
        <f>'Calving input'!H25/2+'Calving input'!H26/2</f>
        <v>3</v>
      </c>
      <c r="F13" s="24">
        <f t="shared" si="0"/>
        <v>3</v>
      </c>
      <c r="G13" s="24">
        <f t="shared" si="1"/>
        <v>3</v>
      </c>
      <c r="H13" s="24">
        <f t="shared" si="1"/>
        <v>3</v>
      </c>
      <c r="I13" s="24">
        <f t="shared" si="1"/>
        <v>3</v>
      </c>
      <c r="J13" s="24">
        <f t="shared" si="1"/>
        <v>3</v>
      </c>
      <c r="K13" s="24">
        <f t="shared" si="1"/>
        <v>3</v>
      </c>
      <c r="L13" s="24">
        <f t="shared" si="1"/>
        <v>3</v>
      </c>
      <c r="M13" s="24">
        <f t="shared" si="1"/>
        <v>3</v>
      </c>
      <c r="N13" s="24">
        <f t="shared" si="1"/>
        <v>3</v>
      </c>
      <c r="O13" s="24">
        <f t="shared" si="1"/>
        <v>3</v>
      </c>
      <c r="P13" s="24">
        <f t="shared" si="1"/>
        <v>3</v>
      </c>
      <c r="Q13" s="24">
        <f t="shared" si="1"/>
        <v>3</v>
      </c>
      <c r="R13" s="24">
        <f t="shared" si="1"/>
        <v>3</v>
      </c>
      <c r="S13" s="10">
        <f t="shared" si="2"/>
        <v>18</v>
      </c>
      <c r="U13" s="26">
        <v>9</v>
      </c>
      <c r="V13">
        <f>'Calving input'!I25/2+'Calving input'!I26/2</f>
        <v>10</v>
      </c>
      <c r="W13" s="24">
        <f t="shared" si="3"/>
        <v>10</v>
      </c>
      <c r="X13" s="24">
        <f t="shared" si="4"/>
        <v>10</v>
      </c>
      <c r="Y13" s="24">
        <f t="shared" si="4"/>
        <v>10</v>
      </c>
      <c r="Z13" s="24">
        <f t="shared" si="4"/>
        <v>10</v>
      </c>
      <c r="AA13" s="24">
        <f t="shared" si="4"/>
        <v>10</v>
      </c>
      <c r="AB13" s="24">
        <f t="shared" si="4"/>
        <v>10</v>
      </c>
      <c r="AC13" s="24">
        <f t="shared" si="4"/>
        <v>10</v>
      </c>
      <c r="AD13" s="24">
        <f t="shared" si="4"/>
        <v>10</v>
      </c>
      <c r="AE13" s="24">
        <f t="shared" si="4"/>
        <v>10</v>
      </c>
      <c r="AF13" s="24">
        <f t="shared" si="4"/>
        <v>10</v>
      </c>
      <c r="AG13" s="24">
        <f t="shared" si="4"/>
        <v>10</v>
      </c>
      <c r="AH13" s="24">
        <f t="shared" si="4"/>
        <v>10</v>
      </c>
      <c r="AI13" s="24">
        <f t="shared" si="4"/>
        <v>10</v>
      </c>
      <c r="AJ13" s="10">
        <f t="shared" si="5"/>
        <v>60</v>
      </c>
      <c r="AL13" s="48">
        <f t="shared" si="16"/>
        <v>45657</v>
      </c>
      <c r="AM13" s="26">
        <v>9</v>
      </c>
      <c r="AN13" s="11">
        <f t="shared" si="6"/>
        <v>1891.1243988909159</v>
      </c>
      <c r="AO13" s="11">
        <f t="shared" si="7"/>
        <v>1837.2163510342193</v>
      </c>
      <c r="AP13" s="11">
        <f t="shared" si="8"/>
        <v>1771.0907029935574</v>
      </c>
      <c r="AQ13" s="11">
        <f t="shared" si="9"/>
        <v>1791.2336035321257</v>
      </c>
      <c r="AR13" s="11">
        <f t="shared" si="10"/>
        <v>1768.1890794900676</v>
      </c>
      <c r="AS13" s="11">
        <f t="shared" si="11"/>
        <v>1821.6890294000787</v>
      </c>
      <c r="AT13" s="11">
        <f t="shared" si="12"/>
        <v>1870.4657184958796</v>
      </c>
      <c r="AU13" s="11">
        <f t="shared" si="13"/>
        <v>1806.2045146699602</v>
      </c>
      <c r="AV13" s="11">
        <f t="shared" si="14"/>
        <v>1891.1243988909159</v>
      </c>
      <c r="AW13" s="15">
        <f t="shared" si="15"/>
        <v>58624.856365618391</v>
      </c>
      <c r="AX13" s="15">
        <f t="shared" si="17"/>
        <v>7968.1274900398412</v>
      </c>
      <c r="AY13" s="44">
        <f t="shared" si="18"/>
        <v>6772.9083665338649</v>
      </c>
    </row>
    <row r="14" spans="1:51" ht="13" thickBot="1" x14ac:dyDescent="0.3">
      <c r="A14" s="12" t="s">
        <v>88</v>
      </c>
      <c r="B14" s="28">
        <f>SUM($S5:$S16,$AJ5:$AJ16)/12</f>
        <v>78</v>
      </c>
      <c r="D14" s="26">
        <v>10</v>
      </c>
      <c r="E14">
        <f>'Calving input'!H26/2+'Calving input'!H27/2</f>
        <v>3</v>
      </c>
      <c r="F14" s="24">
        <f t="shared" si="0"/>
        <v>3</v>
      </c>
      <c r="G14" s="24">
        <f t="shared" si="1"/>
        <v>3</v>
      </c>
      <c r="H14" s="24">
        <f t="shared" si="1"/>
        <v>3</v>
      </c>
      <c r="I14" s="24">
        <f t="shared" si="1"/>
        <v>3</v>
      </c>
      <c r="J14" s="24">
        <f t="shared" si="1"/>
        <v>3</v>
      </c>
      <c r="K14" s="24">
        <f t="shared" si="1"/>
        <v>3</v>
      </c>
      <c r="L14" s="24">
        <f t="shared" si="1"/>
        <v>3</v>
      </c>
      <c r="M14" s="24">
        <f t="shared" si="1"/>
        <v>3</v>
      </c>
      <c r="N14" s="24">
        <f t="shared" si="1"/>
        <v>3</v>
      </c>
      <c r="O14" s="24">
        <f t="shared" si="1"/>
        <v>3</v>
      </c>
      <c r="P14" s="24">
        <f t="shared" si="1"/>
        <v>3</v>
      </c>
      <c r="Q14" s="24">
        <f t="shared" si="1"/>
        <v>3</v>
      </c>
      <c r="R14" s="24">
        <f t="shared" si="1"/>
        <v>3</v>
      </c>
      <c r="S14" s="10">
        <f t="shared" si="2"/>
        <v>18</v>
      </c>
      <c r="U14" s="26">
        <v>10</v>
      </c>
      <c r="V14">
        <f>'Calving input'!I26/2+'Calving input'!I27/2</f>
        <v>10</v>
      </c>
      <c r="W14" s="24">
        <f t="shared" si="3"/>
        <v>10</v>
      </c>
      <c r="X14" s="24">
        <f t="shared" si="4"/>
        <v>10</v>
      </c>
      <c r="Y14" s="24">
        <f t="shared" si="4"/>
        <v>10</v>
      </c>
      <c r="Z14" s="24">
        <f t="shared" si="4"/>
        <v>10</v>
      </c>
      <c r="AA14" s="24">
        <f t="shared" si="4"/>
        <v>10</v>
      </c>
      <c r="AB14" s="24">
        <f t="shared" si="4"/>
        <v>10</v>
      </c>
      <c r="AC14" s="24">
        <f t="shared" si="4"/>
        <v>10</v>
      </c>
      <c r="AD14" s="24">
        <f t="shared" si="4"/>
        <v>10</v>
      </c>
      <c r="AE14" s="24">
        <f t="shared" si="4"/>
        <v>10</v>
      </c>
      <c r="AF14" s="24">
        <f t="shared" si="4"/>
        <v>10</v>
      </c>
      <c r="AG14" s="24">
        <f t="shared" si="4"/>
        <v>10</v>
      </c>
      <c r="AH14" s="24">
        <f t="shared" si="4"/>
        <v>10</v>
      </c>
      <c r="AI14" s="24">
        <f t="shared" si="4"/>
        <v>10</v>
      </c>
      <c r="AJ14" s="10">
        <f t="shared" si="5"/>
        <v>60</v>
      </c>
      <c r="AL14" s="48">
        <f t="shared" si="16"/>
        <v>45688</v>
      </c>
      <c r="AM14" s="26">
        <v>10</v>
      </c>
      <c r="AN14" s="11">
        <f t="shared" si="6"/>
        <v>1891.1243988909159</v>
      </c>
      <c r="AO14" s="11">
        <f t="shared" si="7"/>
        <v>1837.2163510342193</v>
      </c>
      <c r="AP14" s="11">
        <f t="shared" si="8"/>
        <v>1771.0907029935574</v>
      </c>
      <c r="AQ14" s="11">
        <f t="shared" si="9"/>
        <v>1791.2336035321257</v>
      </c>
      <c r="AR14" s="11">
        <f t="shared" si="10"/>
        <v>1768.1890794900676</v>
      </c>
      <c r="AS14" s="11">
        <f t="shared" si="11"/>
        <v>1821.6890294000787</v>
      </c>
      <c r="AT14" s="11">
        <f t="shared" si="12"/>
        <v>1870.4657184958796</v>
      </c>
      <c r="AU14" s="11">
        <f t="shared" si="13"/>
        <v>1806.2045146699602</v>
      </c>
      <c r="AV14" s="11">
        <f t="shared" si="14"/>
        <v>1891.1243988909159</v>
      </c>
      <c r="AW14" s="15">
        <f t="shared" si="15"/>
        <v>58624.856365618391</v>
      </c>
      <c r="AX14" s="15">
        <f t="shared" si="17"/>
        <v>7968.1274900398412</v>
      </c>
      <c r="AY14" s="44">
        <f t="shared" si="18"/>
        <v>6772.9083665338649</v>
      </c>
    </row>
    <row r="15" spans="1:51" x14ac:dyDescent="0.25">
      <c r="D15" s="26">
        <v>11</v>
      </c>
      <c r="E15">
        <f>'Calving input'!H27/2+'Calving input'!H28/2</f>
        <v>3</v>
      </c>
      <c r="F15" s="24">
        <f t="shared" si="0"/>
        <v>3</v>
      </c>
      <c r="G15" s="24">
        <f t="shared" si="1"/>
        <v>3</v>
      </c>
      <c r="H15" s="24">
        <f t="shared" si="1"/>
        <v>3</v>
      </c>
      <c r="I15" s="24">
        <f t="shared" si="1"/>
        <v>3</v>
      </c>
      <c r="J15" s="24">
        <f t="shared" si="1"/>
        <v>3</v>
      </c>
      <c r="K15" s="24">
        <f t="shared" si="1"/>
        <v>3</v>
      </c>
      <c r="L15" s="24">
        <f t="shared" si="1"/>
        <v>3</v>
      </c>
      <c r="M15" s="24">
        <f t="shared" si="1"/>
        <v>3</v>
      </c>
      <c r="N15" s="24">
        <f t="shared" si="1"/>
        <v>3</v>
      </c>
      <c r="O15" s="24">
        <f t="shared" si="1"/>
        <v>3</v>
      </c>
      <c r="P15" s="24">
        <f t="shared" si="1"/>
        <v>3</v>
      </c>
      <c r="Q15" s="24">
        <f t="shared" si="1"/>
        <v>3</v>
      </c>
      <c r="R15" s="24">
        <f t="shared" si="1"/>
        <v>3</v>
      </c>
      <c r="S15" s="10">
        <f t="shared" si="2"/>
        <v>18</v>
      </c>
      <c r="U15" s="26">
        <v>11</v>
      </c>
      <c r="V15">
        <f>'Calving input'!I27/2+'Calving input'!I28/2</f>
        <v>10</v>
      </c>
      <c r="W15" s="24">
        <f t="shared" si="3"/>
        <v>10</v>
      </c>
      <c r="X15" s="24">
        <f t="shared" si="4"/>
        <v>10</v>
      </c>
      <c r="Y15" s="24">
        <f t="shared" si="4"/>
        <v>10</v>
      </c>
      <c r="Z15" s="24">
        <f t="shared" si="4"/>
        <v>10</v>
      </c>
      <c r="AA15" s="24">
        <f t="shared" si="4"/>
        <v>10</v>
      </c>
      <c r="AB15" s="24">
        <f t="shared" si="4"/>
        <v>10</v>
      </c>
      <c r="AC15" s="24">
        <f t="shared" si="4"/>
        <v>10</v>
      </c>
      <c r="AD15" s="24">
        <f t="shared" si="4"/>
        <v>10</v>
      </c>
      <c r="AE15" s="24">
        <f t="shared" si="4"/>
        <v>10</v>
      </c>
      <c r="AF15" s="24">
        <f t="shared" si="4"/>
        <v>10</v>
      </c>
      <c r="AG15" s="24">
        <f t="shared" si="4"/>
        <v>10</v>
      </c>
      <c r="AH15" s="24">
        <f t="shared" si="4"/>
        <v>10</v>
      </c>
      <c r="AI15" s="24">
        <f t="shared" si="4"/>
        <v>10</v>
      </c>
      <c r="AJ15" s="10">
        <f t="shared" si="5"/>
        <v>60</v>
      </c>
      <c r="AL15" s="48">
        <f t="shared" si="16"/>
        <v>45716</v>
      </c>
      <c r="AM15" s="26">
        <v>11</v>
      </c>
      <c r="AN15" s="11">
        <f t="shared" si="6"/>
        <v>1891.1243988909159</v>
      </c>
      <c r="AO15" s="11">
        <f t="shared" si="7"/>
        <v>1837.2163510342193</v>
      </c>
      <c r="AP15" s="11">
        <f t="shared" si="8"/>
        <v>1771.0907029935574</v>
      </c>
      <c r="AQ15" s="11">
        <f t="shared" si="9"/>
        <v>1791.2336035321257</v>
      </c>
      <c r="AR15" s="11">
        <f t="shared" si="10"/>
        <v>1768.1890794900676</v>
      </c>
      <c r="AS15" s="11">
        <f t="shared" si="11"/>
        <v>1821.6890294000787</v>
      </c>
      <c r="AT15" s="11">
        <f t="shared" si="12"/>
        <v>1870.4657184958796</v>
      </c>
      <c r="AU15" s="11">
        <f t="shared" si="13"/>
        <v>1806.2045146699602</v>
      </c>
      <c r="AV15" s="11">
        <f t="shared" si="14"/>
        <v>1891.1243988909159</v>
      </c>
      <c r="AW15" s="15">
        <f t="shared" si="15"/>
        <v>52951.483168945648</v>
      </c>
      <c r="AX15" s="15">
        <f t="shared" si="17"/>
        <v>7968.1274900398412</v>
      </c>
      <c r="AY15" s="44">
        <f t="shared" si="18"/>
        <v>6772.9083665338649</v>
      </c>
    </row>
    <row r="16" spans="1:51" x14ac:dyDescent="0.25">
      <c r="D16" s="26">
        <v>12</v>
      </c>
      <c r="E16">
        <f>'Calving input'!H28/2+'Calving input'!H29/2</f>
        <v>3</v>
      </c>
      <c r="F16" s="24">
        <f t="shared" si="0"/>
        <v>3</v>
      </c>
      <c r="G16" s="24">
        <f t="shared" si="1"/>
        <v>3</v>
      </c>
      <c r="H16" s="24">
        <f t="shared" si="1"/>
        <v>3</v>
      </c>
      <c r="I16" s="24">
        <f t="shared" si="1"/>
        <v>3</v>
      </c>
      <c r="J16" s="24">
        <f t="shared" si="1"/>
        <v>3</v>
      </c>
      <c r="K16" s="24">
        <f t="shared" si="1"/>
        <v>3</v>
      </c>
      <c r="L16" s="24">
        <f t="shared" si="1"/>
        <v>3</v>
      </c>
      <c r="M16" s="24">
        <f t="shared" si="1"/>
        <v>3</v>
      </c>
      <c r="N16" s="24">
        <f t="shared" si="1"/>
        <v>3</v>
      </c>
      <c r="O16" s="24">
        <f t="shared" si="1"/>
        <v>3</v>
      </c>
      <c r="P16" s="24">
        <f t="shared" si="1"/>
        <v>3</v>
      </c>
      <c r="Q16" s="24">
        <f t="shared" si="1"/>
        <v>3</v>
      </c>
      <c r="R16" s="24">
        <f t="shared" si="1"/>
        <v>3</v>
      </c>
      <c r="S16" s="10">
        <f t="shared" si="2"/>
        <v>18</v>
      </c>
      <c r="U16" s="26">
        <v>12</v>
      </c>
      <c r="V16">
        <f>'Calving input'!I28/2+'Calving input'!I29/2</f>
        <v>10</v>
      </c>
      <c r="W16" s="24">
        <f t="shared" si="3"/>
        <v>10</v>
      </c>
      <c r="X16" s="24">
        <f t="shared" si="4"/>
        <v>10</v>
      </c>
      <c r="Y16" s="24">
        <f t="shared" si="4"/>
        <v>10</v>
      </c>
      <c r="Z16" s="24">
        <f t="shared" si="4"/>
        <v>10</v>
      </c>
      <c r="AA16" s="24">
        <f t="shared" si="4"/>
        <v>10</v>
      </c>
      <c r="AB16" s="24">
        <f t="shared" si="4"/>
        <v>10</v>
      </c>
      <c r="AC16" s="24">
        <f t="shared" si="4"/>
        <v>10</v>
      </c>
      <c r="AD16" s="24">
        <f t="shared" si="4"/>
        <v>10</v>
      </c>
      <c r="AE16" s="24">
        <f t="shared" si="4"/>
        <v>10</v>
      </c>
      <c r="AF16" s="24">
        <f t="shared" si="4"/>
        <v>10</v>
      </c>
      <c r="AG16" s="24">
        <f t="shared" si="4"/>
        <v>10</v>
      </c>
      <c r="AH16" s="24">
        <f t="shared" si="4"/>
        <v>10</v>
      </c>
      <c r="AI16" s="24">
        <f t="shared" si="4"/>
        <v>10</v>
      </c>
      <c r="AJ16" s="10">
        <f t="shared" si="5"/>
        <v>60</v>
      </c>
      <c r="AL16" s="48">
        <f t="shared" si="16"/>
        <v>45747</v>
      </c>
      <c r="AM16" s="26">
        <v>12</v>
      </c>
      <c r="AN16" s="11">
        <f t="shared" si="6"/>
        <v>1891.1243988909159</v>
      </c>
      <c r="AO16" s="11">
        <f t="shared" si="7"/>
        <v>1837.2163510342193</v>
      </c>
      <c r="AP16" s="11">
        <f t="shared" si="8"/>
        <v>1771.0907029935574</v>
      </c>
      <c r="AQ16" s="11">
        <f t="shared" si="9"/>
        <v>1791.2336035321257</v>
      </c>
      <c r="AR16" s="11">
        <f t="shared" si="10"/>
        <v>1768.1890794900676</v>
      </c>
      <c r="AS16" s="11">
        <f t="shared" si="11"/>
        <v>1821.6890294000787</v>
      </c>
      <c r="AT16" s="11">
        <f t="shared" si="12"/>
        <v>1870.4657184958796</v>
      </c>
      <c r="AU16" s="11">
        <f t="shared" si="13"/>
        <v>1806.2045146699602</v>
      </c>
      <c r="AV16" s="11">
        <f t="shared" si="14"/>
        <v>1891.1243988909159</v>
      </c>
      <c r="AW16" s="15">
        <f t="shared" si="15"/>
        <v>58624.856365618391</v>
      </c>
      <c r="AX16" s="15">
        <f t="shared" si="17"/>
        <v>7968.1274900398412</v>
      </c>
      <c r="AY16" s="44">
        <f t="shared" si="18"/>
        <v>6772.9083665338649</v>
      </c>
    </row>
    <row r="17" spans="1:51" x14ac:dyDescent="0.25">
      <c r="A17" t="s">
        <v>120</v>
      </c>
      <c r="B17" s="260">
        <f>IF(Input!F31=0,0,IF(Input!F31&lt;0,Input!F31,NOMINAL(Input!F31,12)))/12</f>
        <v>0</v>
      </c>
      <c r="D17" s="26">
        <v>13</v>
      </c>
      <c r="E17">
        <f>'Calving input'!H29/2+'Calving input'!H31/2</f>
        <v>3</v>
      </c>
      <c r="F17" s="24">
        <f t="shared" si="0"/>
        <v>3</v>
      </c>
      <c r="G17" s="24">
        <f t="shared" si="1"/>
        <v>3</v>
      </c>
      <c r="H17" s="24">
        <f t="shared" si="1"/>
        <v>3</v>
      </c>
      <c r="I17" s="24">
        <f t="shared" si="1"/>
        <v>3</v>
      </c>
      <c r="J17" s="24">
        <f t="shared" si="1"/>
        <v>3</v>
      </c>
      <c r="K17" s="24">
        <f t="shared" si="1"/>
        <v>3</v>
      </c>
      <c r="L17" s="24">
        <f t="shared" si="1"/>
        <v>3</v>
      </c>
      <c r="M17" s="24">
        <f t="shared" si="1"/>
        <v>3</v>
      </c>
      <c r="N17" s="24">
        <f t="shared" si="1"/>
        <v>3</v>
      </c>
      <c r="O17" s="24">
        <f t="shared" si="1"/>
        <v>3</v>
      </c>
      <c r="P17" s="24">
        <f t="shared" si="1"/>
        <v>3</v>
      </c>
      <c r="Q17" s="24">
        <f t="shared" si="1"/>
        <v>3</v>
      </c>
      <c r="R17" s="24">
        <f t="shared" si="1"/>
        <v>3</v>
      </c>
      <c r="S17" s="10">
        <f t="shared" si="2"/>
        <v>18</v>
      </c>
      <c r="U17" s="26">
        <v>13</v>
      </c>
      <c r="V17">
        <f>'Calving input'!I29/2+'Calving input'!I31/2</f>
        <v>10</v>
      </c>
      <c r="W17" s="24">
        <f t="shared" si="3"/>
        <v>10</v>
      </c>
      <c r="X17" s="24">
        <f t="shared" si="4"/>
        <v>10</v>
      </c>
      <c r="Y17" s="24">
        <f t="shared" si="4"/>
        <v>10</v>
      </c>
      <c r="Z17" s="24">
        <f t="shared" si="4"/>
        <v>10</v>
      </c>
      <c r="AA17" s="24">
        <f t="shared" si="4"/>
        <v>10</v>
      </c>
      <c r="AB17" s="24">
        <f t="shared" si="4"/>
        <v>10</v>
      </c>
      <c r="AC17" s="24">
        <f t="shared" si="4"/>
        <v>10</v>
      </c>
      <c r="AD17" s="24">
        <f t="shared" si="4"/>
        <v>10</v>
      </c>
      <c r="AE17" s="24">
        <f t="shared" si="4"/>
        <v>10</v>
      </c>
      <c r="AF17" s="24">
        <f t="shared" si="4"/>
        <v>10</v>
      </c>
      <c r="AG17" s="24">
        <f t="shared" si="4"/>
        <v>10</v>
      </c>
      <c r="AH17" s="24">
        <f t="shared" si="4"/>
        <v>10</v>
      </c>
      <c r="AI17" s="24">
        <f t="shared" si="4"/>
        <v>10</v>
      </c>
      <c r="AJ17" s="10">
        <f t="shared" si="5"/>
        <v>60</v>
      </c>
      <c r="AL17" s="48">
        <f t="shared" si="16"/>
        <v>45777</v>
      </c>
      <c r="AM17" s="26">
        <v>13</v>
      </c>
      <c r="AN17" s="11">
        <f t="shared" si="6"/>
        <v>1891.1243988909159</v>
      </c>
      <c r="AO17" s="11">
        <f t="shared" si="7"/>
        <v>1837.2163510342193</v>
      </c>
      <c r="AP17" s="11">
        <f t="shared" si="8"/>
        <v>1771.0907029935574</v>
      </c>
      <c r="AQ17" s="11">
        <f t="shared" si="9"/>
        <v>1791.2336035321257</v>
      </c>
      <c r="AR17" s="11">
        <f t="shared" si="10"/>
        <v>1768.1890794900676</v>
      </c>
      <c r="AS17" s="11">
        <f t="shared" si="11"/>
        <v>1821.6890294000787</v>
      </c>
      <c r="AT17" s="11">
        <f t="shared" si="12"/>
        <v>1870.4657184958796</v>
      </c>
      <c r="AU17" s="11">
        <f t="shared" si="13"/>
        <v>1806.2045146699602</v>
      </c>
      <c r="AV17" s="11">
        <f t="shared" si="14"/>
        <v>1891.1243988909159</v>
      </c>
      <c r="AW17" s="15">
        <f t="shared" si="15"/>
        <v>56733.731966727479</v>
      </c>
      <c r="AX17" s="15">
        <f t="shared" si="17"/>
        <v>7968.1274900398412</v>
      </c>
      <c r="AY17" s="44">
        <f t="shared" si="18"/>
        <v>6772.9083665338649</v>
      </c>
    </row>
    <row r="18" spans="1:51" x14ac:dyDescent="0.25">
      <c r="D18" s="26">
        <v>14</v>
      </c>
      <c r="E18">
        <f>'Calving input'!H31/2+'Calving input'!H32/2</f>
        <v>3</v>
      </c>
      <c r="F18" s="24">
        <f t="shared" si="0"/>
        <v>3</v>
      </c>
      <c r="G18" s="24">
        <f t="shared" si="1"/>
        <v>3</v>
      </c>
      <c r="H18" s="24">
        <f t="shared" si="1"/>
        <v>3</v>
      </c>
      <c r="I18" s="24">
        <f t="shared" si="1"/>
        <v>3</v>
      </c>
      <c r="J18" s="24">
        <f t="shared" si="1"/>
        <v>3</v>
      </c>
      <c r="K18" s="24">
        <f t="shared" si="1"/>
        <v>3</v>
      </c>
      <c r="L18" s="24">
        <f t="shared" si="1"/>
        <v>3</v>
      </c>
      <c r="M18" s="24">
        <f t="shared" si="1"/>
        <v>3</v>
      </c>
      <c r="N18" s="24">
        <f t="shared" si="1"/>
        <v>3</v>
      </c>
      <c r="O18" s="24">
        <f t="shared" si="1"/>
        <v>3</v>
      </c>
      <c r="P18" s="24">
        <f t="shared" si="1"/>
        <v>3</v>
      </c>
      <c r="Q18" s="24">
        <f t="shared" si="1"/>
        <v>3</v>
      </c>
      <c r="R18" s="24">
        <f t="shared" si="1"/>
        <v>3</v>
      </c>
      <c r="S18" s="10">
        <f t="shared" si="2"/>
        <v>18</v>
      </c>
      <c r="U18" s="26">
        <v>14</v>
      </c>
      <c r="V18">
        <f>'Calving input'!I31/2+'Calving input'!I32/2</f>
        <v>10</v>
      </c>
      <c r="W18" s="24">
        <f t="shared" si="3"/>
        <v>10</v>
      </c>
      <c r="X18" s="24">
        <f t="shared" si="4"/>
        <v>10</v>
      </c>
      <c r="Y18" s="24">
        <f t="shared" si="4"/>
        <v>10</v>
      </c>
      <c r="Z18" s="24">
        <f t="shared" si="4"/>
        <v>10</v>
      </c>
      <c r="AA18" s="24">
        <f t="shared" si="4"/>
        <v>10</v>
      </c>
      <c r="AB18" s="24">
        <f t="shared" si="4"/>
        <v>10</v>
      </c>
      <c r="AC18" s="24">
        <f t="shared" si="4"/>
        <v>10</v>
      </c>
      <c r="AD18" s="24">
        <f t="shared" si="4"/>
        <v>10</v>
      </c>
      <c r="AE18" s="24">
        <f t="shared" si="4"/>
        <v>10</v>
      </c>
      <c r="AF18" s="24">
        <f t="shared" si="4"/>
        <v>10</v>
      </c>
      <c r="AG18" s="24">
        <f t="shared" si="4"/>
        <v>10</v>
      </c>
      <c r="AH18" s="24">
        <f t="shared" si="4"/>
        <v>10</v>
      </c>
      <c r="AI18" s="24">
        <f t="shared" si="4"/>
        <v>10</v>
      </c>
      <c r="AJ18" s="10">
        <f t="shared" si="5"/>
        <v>60</v>
      </c>
      <c r="AL18" s="48">
        <f t="shared" si="16"/>
        <v>45808</v>
      </c>
      <c r="AM18" s="26">
        <v>14</v>
      </c>
      <c r="AN18" s="11">
        <f t="shared" si="6"/>
        <v>1891.1243988909159</v>
      </c>
      <c r="AO18" s="11">
        <f t="shared" si="7"/>
        <v>1837.2163510342193</v>
      </c>
      <c r="AP18" s="11">
        <f t="shared" si="8"/>
        <v>1771.0907029935574</v>
      </c>
      <c r="AQ18" s="11">
        <f t="shared" si="9"/>
        <v>1791.2336035321257</v>
      </c>
      <c r="AR18" s="11">
        <f t="shared" si="10"/>
        <v>1768.1890794900676</v>
      </c>
      <c r="AS18" s="11">
        <f t="shared" si="11"/>
        <v>1821.6890294000787</v>
      </c>
      <c r="AT18" s="11">
        <f t="shared" si="12"/>
        <v>1870.4657184958796</v>
      </c>
      <c r="AU18" s="11">
        <f t="shared" si="13"/>
        <v>1806.2045146699602</v>
      </c>
      <c r="AV18" s="11">
        <f t="shared" si="14"/>
        <v>1891.1243988909159</v>
      </c>
      <c r="AW18" s="15">
        <f t="shared" si="15"/>
        <v>58624.856365618391</v>
      </c>
      <c r="AX18" s="15">
        <f t="shared" si="17"/>
        <v>7968.1274900398412</v>
      </c>
      <c r="AY18" s="44">
        <f t="shared" si="18"/>
        <v>6772.9083665338649</v>
      </c>
    </row>
    <row r="19" spans="1:51" x14ac:dyDescent="0.25">
      <c r="A19" t="s">
        <v>140</v>
      </c>
      <c r="D19" s="26">
        <v>15</v>
      </c>
      <c r="E19">
        <f>'Calving input'!H32/2+'Calving input'!H33/2</f>
        <v>3</v>
      </c>
      <c r="F19" s="24">
        <f t="shared" si="0"/>
        <v>3</v>
      </c>
      <c r="G19" s="24">
        <f t="shared" si="1"/>
        <v>3</v>
      </c>
      <c r="H19" s="24">
        <f t="shared" si="1"/>
        <v>3</v>
      </c>
      <c r="I19" s="24">
        <f t="shared" si="1"/>
        <v>3</v>
      </c>
      <c r="J19" s="24">
        <f t="shared" si="1"/>
        <v>3</v>
      </c>
      <c r="K19" s="24">
        <f t="shared" si="1"/>
        <v>3</v>
      </c>
      <c r="L19" s="24">
        <f t="shared" si="1"/>
        <v>3</v>
      </c>
      <c r="M19" s="24">
        <f t="shared" si="1"/>
        <v>3</v>
      </c>
      <c r="N19" s="24">
        <f t="shared" si="1"/>
        <v>3</v>
      </c>
      <c r="O19" s="24">
        <f t="shared" si="1"/>
        <v>3</v>
      </c>
      <c r="P19" s="24">
        <f t="shared" si="1"/>
        <v>3</v>
      </c>
      <c r="Q19" s="24">
        <f t="shared" si="1"/>
        <v>3</v>
      </c>
      <c r="R19" s="24">
        <f t="shared" si="1"/>
        <v>3</v>
      </c>
      <c r="S19" s="10">
        <f t="shared" si="2"/>
        <v>18</v>
      </c>
      <c r="U19" s="26">
        <v>15</v>
      </c>
      <c r="V19">
        <f>'Calving input'!I32/2+'Calving input'!I33/2</f>
        <v>10</v>
      </c>
      <c r="W19" s="24">
        <f t="shared" si="3"/>
        <v>10</v>
      </c>
      <c r="X19" s="24">
        <f t="shared" si="4"/>
        <v>10</v>
      </c>
      <c r="Y19" s="24">
        <f t="shared" si="4"/>
        <v>10</v>
      </c>
      <c r="Z19" s="24">
        <f t="shared" si="4"/>
        <v>10</v>
      </c>
      <c r="AA19" s="24">
        <f t="shared" si="4"/>
        <v>10</v>
      </c>
      <c r="AB19" s="24">
        <f t="shared" si="4"/>
        <v>10</v>
      </c>
      <c r="AC19" s="24">
        <f t="shared" si="4"/>
        <v>10</v>
      </c>
      <c r="AD19" s="24">
        <f t="shared" si="4"/>
        <v>10</v>
      </c>
      <c r="AE19" s="24">
        <f t="shared" si="4"/>
        <v>10</v>
      </c>
      <c r="AF19" s="24">
        <f t="shared" si="4"/>
        <v>10</v>
      </c>
      <c r="AG19" s="24">
        <f t="shared" si="4"/>
        <v>10</v>
      </c>
      <c r="AH19" s="24">
        <f t="shared" si="4"/>
        <v>10</v>
      </c>
      <c r="AI19" s="24">
        <f t="shared" si="4"/>
        <v>10</v>
      </c>
      <c r="AJ19" s="10">
        <f t="shared" si="5"/>
        <v>60</v>
      </c>
      <c r="AL19" s="48">
        <f t="shared" si="16"/>
        <v>45838</v>
      </c>
      <c r="AM19" s="26">
        <v>15</v>
      </c>
      <c r="AN19" s="11">
        <f t="shared" si="6"/>
        <v>1891.1243988909159</v>
      </c>
      <c r="AO19" s="11">
        <f t="shared" si="7"/>
        <v>1837.2163510342193</v>
      </c>
      <c r="AP19" s="11">
        <f t="shared" si="8"/>
        <v>1771.0907029935574</v>
      </c>
      <c r="AQ19" s="11">
        <f t="shared" si="9"/>
        <v>1791.2336035321257</v>
      </c>
      <c r="AR19" s="11">
        <f t="shared" si="10"/>
        <v>1768.1890794900676</v>
      </c>
      <c r="AS19" s="11">
        <f t="shared" si="11"/>
        <v>1821.6890294000787</v>
      </c>
      <c r="AT19" s="11">
        <f t="shared" si="12"/>
        <v>1870.4657184958796</v>
      </c>
      <c r="AU19" s="11">
        <f t="shared" si="13"/>
        <v>1806.2045146699602</v>
      </c>
      <c r="AV19" s="11">
        <f t="shared" si="14"/>
        <v>1891.1243988909159</v>
      </c>
      <c r="AW19" s="15">
        <f t="shared" si="15"/>
        <v>56733.731966727479</v>
      </c>
      <c r="AX19" s="15">
        <f t="shared" si="17"/>
        <v>7968.1274900398412</v>
      </c>
      <c r="AY19" s="44">
        <f t="shared" si="18"/>
        <v>6772.9083665338649</v>
      </c>
    </row>
    <row r="20" spans="1:51" ht="12.75" customHeight="1" x14ac:dyDescent="0.25">
      <c r="A20" t="s">
        <v>89</v>
      </c>
      <c r="B20" s="3">
        <f>IF(B11&lt;&gt;0,B11,Input!F30)</f>
        <v>7968.1274900398412</v>
      </c>
      <c r="D20" s="26">
        <v>16</v>
      </c>
      <c r="E20">
        <f>'Calving input'!H33/2+'Calving input'!H34/2</f>
        <v>3</v>
      </c>
      <c r="F20" s="24">
        <f t="shared" si="0"/>
        <v>3</v>
      </c>
      <c r="G20" s="24">
        <f t="shared" si="1"/>
        <v>3</v>
      </c>
      <c r="H20" s="24">
        <f t="shared" si="1"/>
        <v>3</v>
      </c>
      <c r="I20" s="24">
        <f t="shared" si="1"/>
        <v>3</v>
      </c>
      <c r="J20" s="24">
        <f t="shared" si="1"/>
        <v>3</v>
      </c>
      <c r="K20" s="24">
        <f t="shared" si="1"/>
        <v>3</v>
      </c>
      <c r="L20" s="24">
        <f t="shared" si="1"/>
        <v>3</v>
      </c>
      <c r="M20" s="24">
        <f t="shared" si="1"/>
        <v>3</v>
      </c>
      <c r="N20" s="24">
        <f t="shared" si="1"/>
        <v>3</v>
      </c>
      <c r="O20" s="24">
        <f t="shared" si="1"/>
        <v>3</v>
      </c>
      <c r="P20" s="24">
        <f t="shared" si="1"/>
        <v>3</v>
      </c>
      <c r="Q20" s="24">
        <f t="shared" si="1"/>
        <v>3</v>
      </c>
      <c r="R20" s="24">
        <f t="shared" si="1"/>
        <v>3</v>
      </c>
      <c r="S20" s="10">
        <f t="shared" si="2"/>
        <v>18</v>
      </c>
      <c r="U20" s="26">
        <v>16</v>
      </c>
      <c r="V20">
        <f>'Calving input'!I33/2+'Calving input'!I34/2</f>
        <v>10</v>
      </c>
      <c r="W20" s="24">
        <f t="shared" si="3"/>
        <v>10</v>
      </c>
      <c r="X20" s="24">
        <f t="shared" si="4"/>
        <v>10</v>
      </c>
      <c r="Y20" s="24">
        <f t="shared" si="4"/>
        <v>10</v>
      </c>
      <c r="Z20" s="24">
        <f t="shared" si="4"/>
        <v>10</v>
      </c>
      <c r="AA20" s="24">
        <f t="shared" si="4"/>
        <v>10</v>
      </c>
      <c r="AB20" s="24">
        <f t="shared" si="4"/>
        <v>10</v>
      </c>
      <c r="AC20" s="24">
        <f t="shared" si="4"/>
        <v>10</v>
      </c>
      <c r="AD20" s="24">
        <f t="shared" si="4"/>
        <v>10</v>
      </c>
      <c r="AE20" s="24">
        <f t="shared" si="4"/>
        <v>10</v>
      </c>
      <c r="AF20" s="24">
        <f t="shared" si="4"/>
        <v>10</v>
      </c>
      <c r="AG20" s="24">
        <f t="shared" si="4"/>
        <v>10</v>
      </c>
      <c r="AH20" s="24">
        <f t="shared" si="4"/>
        <v>10</v>
      </c>
      <c r="AI20" s="24">
        <f t="shared" si="4"/>
        <v>10</v>
      </c>
      <c r="AJ20" s="10">
        <f t="shared" si="5"/>
        <v>60</v>
      </c>
      <c r="AL20" s="48">
        <f t="shared" si="16"/>
        <v>45869</v>
      </c>
      <c r="AM20" s="26">
        <v>16</v>
      </c>
      <c r="AN20" s="11">
        <f t="shared" si="6"/>
        <v>1891.1243988909159</v>
      </c>
      <c r="AO20" s="11">
        <f t="shared" si="7"/>
        <v>1837.2163510342193</v>
      </c>
      <c r="AP20" s="11">
        <f t="shared" si="8"/>
        <v>1771.0907029935574</v>
      </c>
      <c r="AQ20" s="11">
        <f t="shared" si="9"/>
        <v>1791.2336035321257</v>
      </c>
      <c r="AR20" s="11">
        <f t="shared" si="10"/>
        <v>1768.1890794900676</v>
      </c>
      <c r="AS20" s="11">
        <f t="shared" si="11"/>
        <v>1821.6890294000787</v>
      </c>
      <c r="AT20" s="11">
        <f t="shared" si="12"/>
        <v>1870.4657184958796</v>
      </c>
      <c r="AU20" s="11">
        <f t="shared" si="13"/>
        <v>1806.2045146699602</v>
      </c>
      <c r="AV20" s="11">
        <f t="shared" si="14"/>
        <v>1891.1243988909159</v>
      </c>
      <c r="AW20" s="15">
        <f t="shared" si="15"/>
        <v>58624.856365618391</v>
      </c>
      <c r="AX20" s="15">
        <f t="shared" si="17"/>
        <v>7968.1274900398412</v>
      </c>
      <c r="AY20" s="44">
        <f t="shared" si="18"/>
        <v>6772.9083665338649</v>
      </c>
    </row>
    <row r="21" spans="1:51" x14ac:dyDescent="0.25">
      <c r="A21" t="s">
        <v>42</v>
      </c>
      <c r="B21" s="3">
        <f>IF(B12&lt;&gt;0,B12,Input!F30*Input!F15)</f>
        <v>6772.9083665338649</v>
      </c>
      <c r="D21" s="26">
        <v>17</v>
      </c>
      <c r="E21">
        <f>'Calving input'!H34/2+'Calving input'!H35/2</f>
        <v>3</v>
      </c>
      <c r="F21" s="24">
        <f t="shared" si="0"/>
        <v>3</v>
      </c>
      <c r="G21" s="24">
        <f t="shared" si="1"/>
        <v>3</v>
      </c>
      <c r="H21" s="24">
        <f t="shared" si="1"/>
        <v>3</v>
      </c>
      <c r="I21" s="24">
        <f t="shared" si="1"/>
        <v>3</v>
      </c>
      <c r="J21" s="24">
        <f t="shared" si="1"/>
        <v>3</v>
      </c>
      <c r="K21" s="24">
        <f t="shared" si="1"/>
        <v>3</v>
      </c>
      <c r="L21" s="24">
        <f t="shared" si="1"/>
        <v>3</v>
      </c>
      <c r="M21" s="24">
        <f t="shared" si="1"/>
        <v>3</v>
      </c>
      <c r="N21" s="24">
        <f t="shared" si="1"/>
        <v>3</v>
      </c>
      <c r="O21" s="24">
        <f t="shared" si="1"/>
        <v>3</v>
      </c>
      <c r="P21" s="24">
        <f t="shared" si="1"/>
        <v>3</v>
      </c>
      <c r="Q21" s="24">
        <f t="shared" si="1"/>
        <v>3</v>
      </c>
      <c r="R21" s="24">
        <f t="shared" si="1"/>
        <v>3</v>
      </c>
      <c r="S21" s="10">
        <f t="shared" si="2"/>
        <v>18</v>
      </c>
      <c r="U21" s="26">
        <v>17</v>
      </c>
      <c r="V21">
        <f>'Calving input'!I34/2+'Calving input'!I35/2</f>
        <v>10</v>
      </c>
      <c r="W21" s="24">
        <f t="shared" si="3"/>
        <v>10</v>
      </c>
      <c r="X21" s="24">
        <f t="shared" si="4"/>
        <v>10</v>
      </c>
      <c r="Y21" s="24">
        <f t="shared" si="4"/>
        <v>10</v>
      </c>
      <c r="Z21" s="24">
        <f t="shared" si="4"/>
        <v>10</v>
      </c>
      <c r="AA21" s="24">
        <f t="shared" si="4"/>
        <v>10</v>
      </c>
      <c r="AB21" s="24">
        <f t="shared" si="4"/>
        <v>10</v>
      </c>
      <c r="AC21" s="24">
        <f t="shared" si="4"/>
        <v>10</v>
      </c>
      <c r="AD21" s="24">
        <f t="shared" si="4"/>
        <v>10</v>
      </c>
      <c r="AE21" s="24">
        <f t="shared" si="4"/>
        <v>10</v>
      </c>
      <c r="AF21" s="24">
        <f t="shared" si="4"/>
        <v>10</v>
      </c>
      <c r="AG21" s="24">
        <f t="shared" si="4"/>
        <v>10</v>
      </c>
      <c r="AH21" s="24">
        <f t="shared" si="4"/>
        <v>10</v>
      </c>
      <c r="AI21" s="24">
        <f t="shared" si="4"/>
        <v>10</v>
      </c>
      <c r="AJ21" s="10">
        <f t="shared" si="5"/>
        <v>60</v>
      </c>
      <c r="AL21" s="48">
        <f t="shared" si="16"/>
        <v>45900</v>
      </c>
      <c r="AM21" s="26">
        <v>17</v>
      </c>
      <c r="AN21" s="11">
        <f t="shared" si="6"/>
        <v>1891.1243988909159</v>
      </c>
      <c r="AO21" s="11">
        <f t="shared" si="7"/>
        <v>1837.2163510342193</v>
      </c>
      <c r="AP21" s="11">
        <f t="shared" si="8"/>
        <v>1771.0907029935574</v>
      </c>
      <c r="AQ21" s="11">
        <f t="shared" si="9"/>
        <v>1791.2336035321257</v>
      </c>
      <c r="AR21" s="11">
        <f t="shared" si="10"/>
        <v>1768.1890794900676</v>
      </c>
      <c r="AS21" s="11">
        <f t="shared" si="11"/>
        <v>1821.6890294000787</v>
      </c>
      <c r="AT21" s="11">
        <f t="shared" si="12"/>
        <v>1870.4657184958796</v>
      </c>
      <c r="AU21" s="11">
        <f t="shared" si="13"/>
        <v>1806.2045146699602</v>
      </c>
      <c r="AV21" s="11">
        <f t="shared" si="14"/>
        <v>1891.1243988909159</v>
      </c>
      <c r="AW21" s="15">
        <f t="shared" si="15"/>
        <v>58624.856365618391</v>
      </c>
      <c r="AX21" s="15">
        <f t="shared" si="17"/>
        <v>7968.1274900398412</v>
      </c>
      <c r="AY21" s="44">
        <f t="shared" si="18"/>
        <v>6772.9083665338649</v>
      </c>
    </row>
    <row r="22" spans="1:51" x14ac:dyDescent="0.25">
      <c r="D22" s="26">
        <v>18</v>
      </c>
      <c r="E22">
        <f>'Calving input'!H35/2+'Calving input'!H36/2</f>
        <v>3</v>
      </c>
      <c r="F22" s="24">
        <f t="shared" si="0"/>
        <v>3</v>
      </c>
      <c r="G22" s="24">
        <f t="shared" ref="G22:R22" si="19">F21</f>
        <v>3</v>
      </c>
      <c r="H22" s="24">
        <f t="shared" si="19"/>
        <v>3</v>
      </c>
      <c r="I22" s="24">
        <f t="shared" si="19"/>
        <v>3</v>
      </c>
      <c r="J22" s="24">
        <f t="shared" si="19"/>
        <v>3</v>
      </c>
      <c r="K22" s="24">
        <f t="shared" si="19"/>
        <v>3</v>
      </c>
      <c r="L22" s="24">
        <f t="shared" si="19"/>
        <v>3</v>
      </c>
      <c r="M22" s="24">
        <f t="shared" si="19"/>
        <v>3</v>
      </c>
      <c r="N22" s="24">
        <f t="shared" si="19"/>
        <v>3</v>
      </c>
      <c r="O22" s="24">
        <f t="shared" si="19"/>
        <v>3</v>
      </c>
      <c r="P22" s="24">
        <f t="shared" si="19"/>
        <v>3</v>
      </c>
      <c r="Q22" s="24">
        <f t="shared" si="19"/>
        <v>3</v>
      </c>
      <c r="R22" s="24">
        <f t="shared" si="19"/>
        <v>3</v>
      </c>
      <c r="S22" s="10">
        <f t="shared" si="2"/>
        <v>18</v>
      </c>
      <c r="U22" s="26">
        <v>18</v>
      </c>
      <c r="V22">
        <f>'Calving input'!I35/2+'Calving input'!I36/2</f>
        <v>10</v>
      </c>
      <c r="W22" s="24">
        <f t="shared" si="3"/>
        <v>10</v>
      </c>
      <c r="X22" s="24">
        <f t="shared" ref="X22:AI22" si="20">W21</f>
        <v>10</v>
      </c>
      <c r="Y22" s="24">
        <f t="shared" si="20"/>
        <v>10</v>
      </c>
      <c r="Z22" s="24">
        <f t="shared" si="20"/>
        <v>10</v>
      </c>
      <c r="AA22" s="24">
        <f t="shared" si="20"/>
        <v>10</v>
      </c>
      <c r="AB22" s="24">
        <f t="shared" si="20"/>
        <v>10</v>
      </c>
      <c r="AC22" s="24">
        <f t="shared" si="20"/>
        <v>10</v>
      </c>
      <c r="AD22" s="24">
        <f t="shared" si="20"/>
        <v>10</v>
      </c>
      <c r="AE22" s="24">
        <f t="shared" si="20"/>
        <v>10</v>
      </c>
      <c r="AF22" s="24">
        <f t="shared" si="20"/>
        <v>10</v>
      </c>
      <c r="AG22" s="24">
        <f t="shared" si="20"/>
        <v>10</v>
      </c>
      <c r="AH22" s="24">
        <f t="shared" si="20"/>
        <v>10</v>
      </c>
      <c r="AI22" s="24">
        <f t="shared" si="20"/>
        <v>10</v>
      </c>
      <c r="AJ22" s="10">
        <f t="shared" si="5"/>
        <v>60</v>
      </c>
      <c r="AL22" s="48">
        <f t="shared" si="16"/>
        <v>45930</v>
      </c>
      <c r="AM22" s="26">
        <v>18</v>
      </c>
      <c r="AN22" s="11">
        <f t="shared" si="6"/>
        <v>1891.1243988909159</v>
      </c>
      <c r="AO22" s="11">
        <f t="shared" si="7"/>
        <v>1837.2163510342193</v>
      </c>
      <c r="AP22" s="11">
        <f t="shared" si="8"/>
        <v>1771.0907029935574</v>
      </c>
      <c r="AQ22" s="11">
        <f t="shared" si="9"/>
        <v>1791.2336035321257</v>
      </c>
      <c r="AR22" s="11">
        <f t="shared" si="10"/>
        <v>1768.1890794900676</v>
      </c>
      <c r="AS22" s="11">
        <f t="shared" si="11"/>
        <v>1821.6890294000787</v>
      </c>
      <c r="AT22" s="11">
        <f t="shared" si="12"/>
        <v>1870.4657184958796</v>
      </c>
      <c r="AU22" s="11">
        <f t="shared" si="13"/>
        <v>1806.2045146699602</v>
      </c>
      <c r="AV22" s="11">
        <f t="shared" si="14"/>
        <v>1891.1243988909159</v>
      </c>
      <c r="AW22" s="15">
        <f t="shared" si="15"/>
        <v>56733.731966727479</v>
      </c>
      <c r="AX22" s="15">
        <f t="shared" si="17"/>
        <v>7968.1274900398412</v>
      </c>
      <c r="AY22" s="44">
        <f t="shared" si="18"/>
        <v>6772.9083665338649</v>
      </c>
    </row>
    <row r="23" spans="1:51" x14ac:dyDescent="0.25">
      <c r="D23" s="26">
        <v>19</v>
      </c>
      <c r="E23">
        <f>'Calving input'!H36/2+'Calving input'!H37/2</f>
        <v>3</v>
      </c>
      <c r="F23" s="24">
        <f t="shared" ref="F23:R40" si="21">E22</f>
        <v>3</v>
      </c>
      <c r="G23" s="24">
        <f t="shared" si="21"/>
        <v>3</v>
      </c>
      <c r="H23" s="24">
        <f t="shared" si="21"/>
        <v>3</v>
      </c>
      <c r="I23" s="24">
        <f t="shared" si="21"/>
        <v>3</v>
      </c>
      <c r="J23" s="24">
        <f t="shared" si="21"/>
        <v>3</v>
      </c>
      <c r="K23" s="24">
        <f t="shared" si="21"/>
        <v>3</v>
      </c>
      <c r="L23" s="24">
        <f t="shared" si="21"/>
        <v>3</v>
      </c>
      <c r="M23" s="24">
        <f t="shared" si="21"/>
        <v>3</v>
      </c>
      <c r="N23" s="24">
        <f t="shared" si="21"/>
        <v>3</v>
      </c>
      <c r="O23" s="24">
        <f t="shared" si="21"/>
        <v>3</v>
      </c>
      <c r="P23" s="24">
        <f t="shared" si="21"/>
        <v>3</v>
      </c>
      <c r="Q23" s="24">
        <f t="shared" si="21"/>
        <v>3</v>
      </c>
      <c r="R23" s="24">
        <f t="shared" si="21"/>
        <v>3</v>
      </c>
      <c r="S23" s="10">
        <f t="shared" si="2"/>
        <v>18</v>
      </c>
      <c r="U23" s="26">
        <v>19</v>
      </c>
      <c r="V23">
        <f>'Calving input'!I36/2+'Calving input'!I37/2</f>
        <v>10</v>
      </c>
      <c r="W23" s="24">
        <f t="shared" ref="W23:AI40" si="22">V22</f>
        <v>10</v>
      </c>
      <c r="X23" s="24">
        <f t="shared" si="22"/>
        <v>10</v>
      </c>
      <c r="Y23" s="24">
        <f t="shared" si="22"/>
        <v>10</v>
      </c>
      <c r="Z23" s="24">
        <f t="shared" si="22"/>
        <v>10</v>
      </c>
      <c r="AA23" s="24">
        <f t="shared" si="22"/>
        <v>10</v>
      </c>
      <c r="AB23" s="24">
        <f t="shared" si="22"/>
        <v>10</v>
      </c>
      <c r="AC23" s="24">
        <f t="shared" si="22"/>
        <v>10</v>
      </c>
      <c r="AD23" s="24">
        <f t="shared" si="22"/>
        <v>10</v>
      </c>
      <c r="AE23" s="24">
        <f t="shared" si="22"/>
        <v>10</v>
      </c>
      <c r="AF23" s="24">
        <f t="shared" si="22"/>
        <v>10</v>
      </c>
      <c r="AG23" s="24">
        <f t="shared" si="22"/>
        <v>10</v>
      </c>
      <c r="AH23" s="24">
        <f t="shared" si="22"/>
        <v>10</v>
      </c>
      <c r="AI23" s="24">
        <f t="shared" si="22"/>
        <v>10</v>
      </c>
      <c r="AJ23" s="10">
        <f t="shared" si="5"/>
        <v>60</v>
      </c>
      <c r="AL23" s="48">
        <f t="shared" si="16"/>
        <v>45961</v>
      </c>
      <c r="AM23" s="26">
        <v>19</v>
      </c>
      <c r="AN23" s="11">
        <f t="shared" si="6"/>
        <v>1891.1243988909159</v>
      </c>
      <c r="AO23" s="11">
        <f t="shared" si="7"/>
        <v>1837.2163510342193</v>
      </c>
      <c r="AP23" s="11">
        <f t="shared" si="8"/>
        <v>1771.0907029935574</v>
      </c>
      <c r="AQ23" s="11">
        <f t="shared" si="9"/>
        <v>1791.2336035321257</v>
      </c>
      <c r="AR23" s="11">
        <f t="shared" si="10"/>
        <v>1768.1890794900676</v>
      </c>
      <c r="AS23" s="11">
        <f t="shared" si="11"/>
        <v>1821.6890294000787</v>
      </c>
      <c r="AT23" s="11">
        <f t="shared" si="12"/>
        <v>1870.4657184958796</v>
      </c>
      <c r="AU23" s="11">
        <f t="shared" si="13"/>
        <v>1806.2045146699602</v>
      </c>
      <c r="AV23" s="11">
        <f t="shared" si="14"/>
        <v>1891.1243988909159</v>
      </c>
      <c r="AW23" s="15">
        <f t="shared" si="15"/>
        <v>58624.856365618391</v>
      </c>
      <c r="AX23" s="15">
        <f t="shared" si="17"/>
        <v>7968.1274900398412</v>
      </c>
      <c r="AY23" s="44">
        <f t="shared" si="18"/>
        <v>6772.9083665338649</v>
      </c>
    </row>
    <row r="24" spans="1:51" x14ac:dyDescent="0.25">
      <c r="D24" s="26">
        <v>20</v>
      </c>
      <c r="E24">
        <f>'Calving input'!H37/2+'Calving input'!H38/2</f>
        <v>3</v>
      </c>
      <c r="F24" s="24">
        <f t="shared" si="21"/>
        <v>3</v>
      </c>
      <c r="G24" s="24">
        <f t="shared" si="21"/>
        <v>3</v>
      </c>
      <c r="H24" s="24">
        <f t="shared" si="21"/>
        <v>3</v>
      </c>
      <c r="I24" s="24">
        <f t="shared" si="21"/>
        <v>3</v>
      </c>
      <c r="J24" s="24">
        <f t="shared" si="21"/>
        <v>3</v>
      </c>
      <c r="K24" s="24">
        <f t="shared" si="21"/>
        <v>3</v>
      </c>
      <c r="L24" s="24">
        <f t="shared" si="21"/>
        <v>3</v>
      </c>
      <c r="M24" s="24">
        <f t="shared" si="21"/>
        <v>3</v>
      </c>
      <c r="N24" s="24">
        <f t="shared" si="21"/>
        <v>3</v>
      </c>
      <c r="O24" s="24">
        <f t="shared" si="21"/>
        <v>3</v>
      </c>
      <c r="P24" s="24">
        <f t="shared" si="21"/>
        <v>3</v>
      </c>
      <c r="Q24" s="24">
        <f t="shared" si="21"/>
        <v>3</v>
      </c>
      <c r="R24" s="24">
        <f t="shared" si="21"/>
        <v>3</v>
      </c>
      <c r="S24" s="10">
        <f t="shared" si="2"/>
        <v>18</v>
      </c>
      <c r="U24" s="26">
        <v>20</v>
      </c>
      <c r="V24">
        <f>'Calving input'!I37/2+'Calving input'!I38/2</f>
        <v>10</v>
      </c>
      <c r="W24" s="24">
        <f t="shared" si="22"/>
        <v>10</v>
      </c>
      <c r="X24" s="24">
        <f t="shared" si="22"/>
        <v>10</v>
      </c>
      <c r="Y24" s="24">
        <f t="shared" si="22"/>
        <v>10</v>
      </c>
      <c r="Z24" s="24">
        <f t="shared" si="22"/>
        <v>10</v>
      </c>
      <c r="AA24" s="24">
        <f t="shared" si="22"/>
        <v>10</v>
      </c>
      <c r="AB24" s="24">
        <f t="shared" si="22"/>
        <v>10</v>
      </c>
      <c r="AC24" s="24">
        <f t="shared" si="22"/>
        <v>10</v>
      </c>
      <c r="AD24" s="24">
        <f t="shared" si="22"/>
        <v>10</v>
      </c>
      <c r="AE24" s="24">
        <f t="shared" si="22"/>
        <v>10</v>
      </c>
      <c r="AF24" s="24">
        <f t="shared" si="22"/>
        <v>10</v>
      </c>
      <c r="AG24" s="24">
        <f t="shared" si="22"/>
        <v>10</v>
      </c>
      <c r="AH24" s="24">
        <f t="shared" si="22"/>
        <v>10</v>
      </c>
      <c r="AI24" s="24">
        <f t="shared" si="22"/>
        <v>10</v>
      </c>
      <c r="AJ24" s="10">
        <f t="shared" si="5"/>
        <v>60</v>
      </c>
      <c r="AL24" s="48">
        <f t="shared" si="16"/>
        <v>45991</v>
      </c>
      <c r="AM24" s="26">
        <v>20</v>
      </c>
      <c r="AN24" s="11">
        <f t="shared" si="6"/>
        <v>1891.1243988909159</v>
      </c>
      <c r="AO24" s="11">
        <f t="shared" si="7"/>
        <v>1837.2163510342193</v>
      </c>
      <c r="AP24" s="11">
        <f t="shared" si="8"/>
        <v>1771.0907029935574</v>
      </c>
      <c r="AQ24" s="11">
        <f t="shared" si="9"/>
        <v>1791.2336035321257</v>
      </c>
      <c r="AR24" s="11">
        <f t="shared" si="10"/>
        <v>1768.1890794900676</v>
      </c>
      <c r="AS24" s="11">
        <f t="shared" si="11"/>
        <v>1821.6890294000787</v>
      </c>
      <c r="AT24" s="11">
        <f t="shared" si="12"/>
        <v>1870.4657184958796</v>
      </c>
      <c r="AU24" s="11">
        <f t="shared" si="13"/>
        <v>1806.2045146699602</v>
      </c>
      <c r="AV24" s="11">
        <f t="shared" si="14"/>
        <v>1891.1243988909159</v>
      </c>
      <c r="AW24" s="15">
        <f t="shared" si="15"/>
        <v>56733.731966727479</v>
      </c>
      <c r="AX24" s="15">
        <f t="shared" si="17"/>
        <v>7968.1274900398412</v>
      </c>
      <c r="AY24" s="44">
        <f t="shared" si="18"/>
        <v>6772.9083665338649</v>
      </c>
    </row>
    <row r="25" spans="1:51" x14ac:dyDescent="0.25">
      <c r="D25" s="26">
        <v>21</v>
      </c>
      <c r="E25">
        <f>'Calving input'!H38/2+'Calving input'!H39/2</f>
        <v>3</v>
      </c>
      <c r="F25" s="24">
        <f t="shared" si="21"/>
        <v>3</v>
      </c>
      <c r="G25" s="24">
        <f t="shared" si="21"/>
        <v>3</v>
      </c>
      <c r="H25" s="24">
        <f t="shared" si="21"/>
        <v>3</v>
      </c>
      <c r="I25" s="24">
        <f t="shared" si="21"/>
        <v>3</v>
      </c>
      <c r="J25" s="24">
        <f t="shared" si="21"/>
        <v>3</v>
      </c>
      <c r="K25" s="24">
        <f t="shared" si="21"/>
        <v>3</v>
      </c>
      <c r="L25" s="24">
        <f t="shared" si="21"/>
        <v>3</v>
      </c>
      <c r="M25" s="24">
        <f t="shared" si="21"/>
        <v>3</v>
      </c>
      <c r="N25" s="24">
        <f t="shared" si="21"/>
        <v>3</v>
      </c>
      <c r="O25" s="24">
        <f t="shared" si="21"/>
        <v>3</v>
      </c>
      <c r="P25" s="24">
        <f t="shared" si="21"/>
        <v>3</v>
      </c>
      <c r="Q25" s="24">
        <f t="shared" si="21"/>
        <v>3</v>
      </c>
      <c r="R25" s="24">
        <f t="shared" si="21"/>
        <v>3</v>
      </c>
      <c r="S25" s="10">
        <f t="shared" si="2"/>
        <v>18</v>
      </c>
      <c r="U25" s="26">
        <v>21</v>
      </c>
      <c r="V25">
        <f>'Calving input'!I38/2+'Calving input'!I39/2</f>
        <v>10</v>
      </c>
      <c r="W25" s="24">
        <f t="shared" si="22"/>
        <v>10</v>
      </c>
      <c r="X25" s="24">
        <f t="shared" si="22"/>
        <v>10</v>
      </c>
      <c r="Y25" s="24">
        <f t="shared" si="22"/>
        <v>10</v>
      </c>
      <c r="Z25" s="24">
        <f t="shared" si="22"/>
        <v>10</v>
      </c>
      <c r="AA25" s="24">
        <f t="shared" si="22"/>
        <v>10</v>
      </c>
      <c r="AB25" s="24">
        <f t="shared" si="22"/>
        <v>10</v>
      </c>
      <c r="AC25" s="24">
        <f t="shared" si="22"/>
        <v>10</v>
      </c>
      <c r="AD25" s="24">
        <f t="shared" si="22"/>
        <v>10</v>
      </c>
      <c r="AE25" s="24">
        <f t="shared" si="22"/>
        <v>10</v>
      </c>
      <c r="AF25" s="24">
        <f t="shared" si="22"/>
        <v>10</v>
      </c>
      <c r="AG25" s="24">
        <f t="shared" si="22"/>
        <v>10</v>
      </c>
      <c r="AH25" s="24">
        <f t="shared" si="22"/>
        <v>10</v>
      </c>
      <c r="AI25" s="24">
        <f t="shared" si="22"/>
        <v>10</v>
      </c>
      <c r="AJ25" s="10">
        <f t="shared" si="5"/>
        <v>60</v>
      </c>
      <c r="AL25" s="48">
        <f t="shared" si="16"/>
        <v>46022</v>
      </c>
      <c r="AM25" s="26">
        <v>21</v>
      </c>
      <c r="AN25" s="11">
        <f t="shared" si="6"/>
        <v>1891.1243988909159</v>
      </c>
      <c r="AO25" s="11">
        <f t="shared" si="7"/>
        <v>1837.2163510342193</v>
      </c>
      <c r="AP25" s="11">
        <f t="shared" si="8"/>
        <v>1771.0907029935574</v>
      </c>
      <c r="AQ25" s="11">
        <f t="shared" si="9"/>
        <v>1791.2336035321257</v>
      </c>
      <c r="AR25" s="11">
        <f t="shared" si="10"/>
        <v>1768.1890794900676</v>
      </c>
      <c r="AS25" s="11">
        <f t="shared" si="11"/>
        <v>1821.6890294000787</v>
      </c>
      <c r="AT25" s="11">
        <f t="shared" si="12"/>
        <v>1870.4657184958796</v>
      </c>
      <c r="AU25" s="11">
        <f t="shared" si="13"/>
        <v>1806.2045146699602</v>
      </c>
      <c r="AV25" s="11">
        <f t="shared" si="14"/>
        <v>1891.1243988909159</v>
      </c>
      <c r="AW25" s="15">
        <f t="shared" si="15"/>
        <v>58624.856365618391</v>
      </c>
      <c r="AX25" s="15">
        <f t="shared" si="17"/>
        <v>7968.1274900398412</v>
      </c>
      <c r="AY25" s="44">
        <f t="shared" si="18"/>
        <v>6772.9083665338649</v>
      </c>
    </row>
    <row r="26" spans="1:51" x14ac:dyDescent="0.25">
      <c r="D26" s="26">
        <v>22</v>
      </c>
      <c r="E26">
        <f>'Calving input'!H39/2+'Calving input'!H40/2</f>
        <v>3</v>
      </c>
      <c r="F26" s="24">
        <f t="shared" si="21"/>
        <v>3</v>
      </c>
      <c r="G26" s="24">
        <f t="shared" si="21"/>
        <v>3</v>
      </c>
      <c r="H26" s="24">
        <f t="shared" si="21"/>
        <v>3</v>
      </c>
      <c r="I26" s="24">
        <f t="shared" si="21"/>
        <v>3</v>
      </c>
      <c r="J26" s="24">
        <f t="shared" si="21"/>
        <v>3</v>
      </c>
      <c r="K26" s="24">
        <f t="shared" si="21"/>
        <v>3</v>
      </c>
      <c r="L26" s="24">
        <f t="shared" si="21"/>
        <v>3</v>
      </c>
      <c r="M26" s="24">
        <f t="shared" si="21"/>
        <v>3</v>
      </c>
      <c r="N26" s="24">
        <f t="shared" si="21"/>
        <v>3</v>
      </c>
      <c r="O26" s="24">
        <f t="shared" si="21"/>
        <v>3</v>
      </c>
      <c r="P26" s="24">
        <f t="shared" si="21"/>
        <v>3</v>
      </c>
      <c r="Q26" s="24">
        <f t="shared" si="21"/>
        <v>3</v>
      </c>
      <c r="R26" s="24">
        <f t="shared" si="21"/>
        <v>3</v>
      </c>
      <c r="S26" s="10">
        <f t="shared" si="2"/>
        <v>18</v>
      </c>
      <c r="U26" s="26">
        <v>22</v>
      </c>
      <c r="V26">
        <f>'Calving input'!I39/2+'Calving input'!I40/2</f>
        <v>10</v>
      </c>
      <c r="W26" s="24">
        <f t="shared" si="22"/>
        <v>10</v>
      </c>
      <c r="X26" s="24">
        <f t="shared" si="22"/>
        <v>10</v>
      </c>
      <c r="Y26" s="24">
        <f t="shared" si="22"/>
        <v>10</v>
      </c>
      <c r="Z26" s="24">
        <f t="shared" si="22"/>
        <v>10</v>
      </c>
      <c r="AA26" s="24">
        <f t="shared" si="22"/>
        <v>10</v>
      </c>
      <c r="AB26" s="24">
        <f t="shared" si="22"/>
        <v>10</v>
      </c>
      <c r="AC26" s="24">
        <f t="shared" si="22"/>
        <v>10</v>
      </c>
      <c r="AD26" s="24">
        <f t="shared" si="22"/>
        <v>10</v>
      </c>
      <c r="AE26" s="24">
        <f t="shared" si="22"/>
        <v>10</v>
      </c>
      <c r="AF26" s="24">
        <f t="shared" si="22"/>
        <v>10</v>
      </c>
      <c r="AG26" s="24">
        <f t="shared" si="22"/>
        <v>10</v>
      </c>
      <c r="AH26" s="24">
        <f t="shared" si="22"/>
        <v>10</v>
      </c>
      <c r="AI26" s="24">
        <f t="shared" si="22"/>
        <v>10</v>
      </c>
      <c r="AJ26" s="10">
        <f t="shared" si="5"/>
        <v>60</v>
      </c>
      <c r="AL26" s="48">
        <f t="shared" si="16"/>
        <v>46053</v>
      </c>
      <c r="AM26" s="26">
        <v>22</v>
      </c>
      <c r="AN26" s="11">
        <f t="shared" si="6"/>
        <v>1891.1243988909159</v>
      </c>
      <c r="AO26" s="11">
        <f t="shared" si="7"/>
        <v>1837.2163510342193</v>
      </c>
      <c r="AP26" s="11">
        <f t="shared" si="8"/>
        <v>1771.0907029935574</v>
      </c>
      <c r="AQ26" s="11">
        <f t="shared" si="9"/>
        <v>1791.2336035321257</v>
      </c>
      <c r="AR26" s="11">
        <f t="shared" si="10"/>
        <v>1768.1890794900676</v>
      </c>
      <c r="AS26" s="11">
        <f t="shared" si="11"/>
        <v>1821.6890294000787</v>
      </c>
      <c r="AT26" s="11">
        <f t="shared" si="12"/>
        <v>1870.4657184958796</v>
      </c>
      <c r="AU26" s="11">
        <f t="shared" si="13"/>
        <v>1806.2045146699602</v>
      </c>
      <c r="AV26" s="11">
        <f t="shared" si="14"/>
        <v>1891.1243988909159</v>
      </c>
      <c r="AW26" s="15">
        <f t="shared" si="15"/>
        <v>58624.856365618391</v>
      </c>
      <c r="AX26" s="15">
        <f t="shared" si="17"/>
        <v>7968.1274900398412</v>
      </c>
      <c r="AY26" s="44">
        <f t="shared" si="18"/>
        <v>6772.9083665338649</v>
      </c>
    </row>
    <row r="27" spans="1:51" x14ac:dyDescent="0.25">
      <c r="D27" s="26">
        <v>23</v>
      </c>
      <c r="E27">
        <f>'Calving input'!H40/2+'Calving input'!H41/2</f>
        <v>3</v>
      </c>
      <c r="F27" s="24">
        <f t="shared" si="21"/>
        <v>3</v>
      </c>
      <c r="G27" s="24">
        <f t="shared" si="21"/>
        <v>3</v>
      </c>
      <c r="H27" s="24">
        <f t="shared" si="21"/>
        <v>3</v>
      </c>
      <c r="I27" s="24">
        <f t="shared" si="21"/>
        <v>3</v>
      </c>
      <c r="J27" s="24">
        <f t="shared" si="21"/>
        <v>3</v>
      </c>
      <c r="K27" s="24">
        <f t="shared" si="21"/>
        <v>3</v>
      </c>
      <c r="L27" s="24">
        <f t="shared" si="21"/>
        <v>3</v>
      </c>
      <c r="M27" s="24">
        <f t="shared" si="21"/>
        <v>3</v>
      </c>
      <c r="N27" s="24">
        <f t="shared" si="21"/>
        <v>3</v>
      </c>
      <c r="O27" s="24">
        <f t="shared" si="21"/>
        <v>3</v>
      </c>
      <c r="P27" s="24">
        <f t="shared" si="21"/>
        <v>3</v>
      </c>
      <c r="Q27" s="24">
        <f t="shared" si="21"/>
        <v>3</v>
      </c>
      <c r="R27" s="24">
        <f t="shared" si="21"/>
        <v>3</v>
      </c>
      <c r="S27" s="10">
        <f t="shared" si="2"/>
        <v>18</v>
      </c>
      <c r="U27" s="26">
        <v>23</v>
      </c>
      <c r="V27">
        <f>'Calving input'!I40/2+'Calving input'!I41/2</f>
        <v>10</v>
      </c>
      <c r="W27" s="24">
        <f t="shared" si="22"/>
        <v>10</v>
      </c>
      <c r="X27" s="24">
        <f t="shared" si="22"/>
        <v>10</v>
      </c>
      <c r="Y27" s="24">
        <f t="shared" si="22"/>
        <v>10</v>
      </c>
      <c r="Z27" s="24">
        <f t="shared" si="22"/>
        <v>10</v>
      </c>
      <c r="AA27" s="24">
        <f t="shared" si="22"/>
        <v>10</v>
      </c>
      <c r="AB27" s="24">
        <f t="shared" si="22"/>
        <v>10</v>
      </c>
      <c r="AC27" s="24">
        <f t="shared" si="22"/>
        <v>10</v>
      </c>
      <c r="AD27" s="24">
        <f t="shared" si="22"/>
        <v>10</v>
      </c>
      <c r="AE27" s="24">
        <f t="shared" si="22"/>
        <v>10</v>
      </c>
      <c r="AF27" s="24">
        <f t="shared" si="22"/>
        <v>10</v>
      </c>
      <c r="AG27" s="24">
        <f t="shared" si="22"/>
        <v>10</v>
      </c>
      <c r="AH27" s="24">
        <f t="shared" si="22"/>
        <v>10</v>
      </c>
      <c r="AI27" s="24">
        <f t="shared" si="22"/>
        <v>10</v>
      </c>
      <c r="AJ27" s="10">
        <f t="shared" si="5"/>
        <v>60</v>
      </c>
      <c r="AL27" s="48">
        <f t="shared" si="16"/>
        <v>46081</v>
      </c>
      <c r="AM27" s="26">
        <v>23</v>
      </c>
      <c r="AN27" s="11">
        <f t="shared" si="6"/>
        <v>1891.1243988909159</v>
      </c>
      <c r="AO27" s="11">
        <f t="shared" si="7"/>
        <v>1837.2163510342193</v>
      </c>
      <c r="AP27" s="11">
        <f t="shared" si="8"/>
        <v>1771.0907029935574</v>
      </c>
      <c r="AQ27" s="11">
        <f t="shared" si="9"/>
        <v>1791.2336035321257</v>
      </c>
      <c r="AR27" s="11">
        <f t="shared" si="10"/>
        <v>1768.1890794900676</v>
      </c>
      <c r="AS27" s="11">
        <f t="shared" si="11"/>
        <v>1821.6890294000787</v>
      </c>
      <c r="AT27" s="11">
        <f t="shared" si="12"/>
        <v>1870.4657184958796</v>
      </c>
      <c r="AU27" s="11">
        <f t="shared" si="13"/>
        <v>1806.2045146699602</v>
      </c>
      <c r="AV27" s="11">
        <f t="shared" si="14"/>
        <v>1891.1243988909159</v>
      </c>
      <c r="AW27" s="15">
        <f t="shared" si="15"/>
        <v>52951.483168945648</v>
      </c>
      <c r="AX27" s="15">
        <f t="shared" si="17"/>
        <v>7968.1274900398412</v>
      </c>
      <c r="AY27" s="44">
        <f t="shared" si="18"/>
        <v>6772.9083665338649</v>
      </c>
    </row>
    <row r="28" spans="1:51" x14ac:dyDescent="0.25">
      <c r="D28" s="26">
        <v>24</v>
      </c>
      <c r="E28">
        <f>'Calving input'!H41/2+'Calving input'!H42/2</f>
        <v>3</v>
      </c>
      <c r="F28" s="24">
        <f t="shared" si="21"/>
        <v>3</v>
      </c>
      <c r="G28" s="24">
        <f t="shared" si="21"/>
        <v>3</v>
      </c>
      <c r="H28" s="24">
        <f t="shared" si="21"/>
        <v>3</v>
      </c>
      <c r="I28" s="24">
        <f t="shared" si="21"/>
        <v>3</v>
      </c>
      <c r="J28" s="24">
        <f t="shared" si="21"/>
        <v>3</v>
      </c>
      <c r="K28" s="24">
        <f t="shared" si="21"/>
        <v>3</v>
      </c>
      <c r="L28" s="24">
        <f t="shared" si="21"/>
        <v>3</v>
      </c>
      <c r="M28" s="24">
        <f t="shared" si="21"/>
        <v>3</v>
      </c>
      <c r="N28" s="24">
        <f t="shared" si="21"/>
        <v>3</v>
      </c>
      <c r="O28" s="24">
        <f t="shared" si="21"/>
        <v>3</v>
      </c>
      <c r="P28" s="24">
        <f t="shared" si="21"/>
        <v>3</v>
      </c>
      <c r="Q28" s="24">
        <f t="shared" si="21"/>
        <v>3</v>
      </c>
      <c r="R28" s="24">
        <f t="shared" si="21"/>
        <v>3</v>
      </c>
      <c r="S28" s="10">
        <f t="shared" si="2"/>
        <v>18</v>
      </c>
      <c r="U28" s="26">
        <v>24</v>
      </c>
      <c r="V28">
        <f>'Calving input'!I41/2+'Calving input'!I42/2</f>
        <v>10</v>
      </c>
      <c r="W28" s="24">
        <f t="shared" si="22"/>
        <v>10</v>
      </c>
      <c r="X28" s="24">
        <f t="shared" si="22"/>
        <v>10</v>
      </c>
      <c r="Y28" s="24">
        <f t="shared" si="22"/>
        <v>10</v>
      </c>
      <c r="Z28" s="24">
        <f t="shared" si="22"/>
        <v>10</v>
      </c>
      <c r="AA28" s="24">
        <f t="shared" si="22"/>
        <v>10</v>
      </c>
      <c r="AB28" s="24">
        <f t="shared" si="22"/>
        <v>10</v>
      </c>
      <c r="AC28" s="24">
        <f t="shared" si="22"/>
        <v>10</v>
      </c>
      <c r="AD28" s="24">
        <f t="shared" si="22"/>
        <v>10</v>
      </c>
      <c r="AE28" s="24">
        <f t="shared" si="22"/>
        <v>10</v>
      </c>
      <c r="AF28" s="24">
        <f t="shared" si="22"/>
        <v>10</v>
      </c>
      <c r="AG28" s="24">
        <f t="shared" si="22"/>
        <v>10</v>
      </c>
      <c r="AH28" s="24">
        <f t="shared" si="22"/>
        <v>10</v>
      </c>
      <c r="AI28" s="24">
        <f t="shared" si="22"/>
        <v>10</v>
      </c>
      <c r="AJ28" s="10">
        <f t="shared" si="5"/>
        <v>60</v>
      </c>
      <c r="AL28" s="48">
        <f t="shared" si="16"/>
        <v>46112</v>
      </c>
      <c r="AM28" s="26">
        <v>24</v>
      </c>
      <c r="AN28" s="11">
        <f t="shared" si="6"/>
        <v>1891.1243988909159</v>
      </c>
      <c r="AO28" s="11">
        <f t="shared" si="7"/>
        <v>1837.2163510342193</v>
      </c>
      <c r="AP28" s="11">
        <f t="shared" si="8"/>
        <v>1771.0907029935574</v>
      </c>
      <c r="AQ28" s="11">
        <f t="shared" si="9"/>
        <v>1791.2336035321257</v>
      </c>
      <c r="AR28" s="11">
        <f t="shared" si="10"/>
        <v>1768.1890794900676</v>
      </c>
      <c r="AS28" s="11">
        <f t="shared" si="11"/>
        <v>1821.6890294000787</v>
      </c>
      <c r="AT28" s="11">
        <f t="shared" si="12"/>
        <v>1870.4657184958796</v>
      </c>
      <c r="AU28" s="11">
        <f t="shared" si="13"/>
        <v>1806.2045146699602</v>
      </c>
      <c r="AV28" s="11">
        <f t="shared" si="14"/>
        <v>1891.1243988909159</v>
      </c>
      <c r="AW28" s="15">
        <f t="shared" si="15"/>
        <v>58624.856365618391</v>
      </c>
      <c r="AX28" s="15">
        <f t="shared" si="17"/>
        <v>7968.1274900398412</v>
      </c>
      <c r="AY28" s="44">
        <f t="shared" si="18"/>
        <v>6772.9083665338649</v>
      </c>
    </row>
    <row r="29" spans="1:51" x14ac:dyDescent="0.25">
      <c r="D29" s="26">
        <v>25</v>
      </c>
      <c r="E29">
        <f>'Calving input'!H42/2+'Calving input'!H44/2</f>
        <v>3</v>
      </c>
      <c r="F29" s="24">
        <f t="shared" si="21"/>
        <v>3</v>
      </c>
      <c r="G29" s="24">
        <f t="shared" si="21"/>
        <v>3</v>
      </c>
      <c r="H29" s="24">
        <f t="shared" si="21"/>
        <v>3</v>
      </c>
      <c r="I29" s="24">
        <f t="shared" si="21"/>
        <v>3</v>
      </c>
      <c r="J29" s="24">
        <f t="shared" si="21"/>
        <v>3</v>
      </c>
      <c r="K29" s="24">
        <f t="shared" si="21"/>
        <v>3</v>
      </c>
      <c r="L29" s="24">
        <f t="shared" si="21"/>
        <v>3</v>
      </c>
      <c r="M29" s="24">
        <f t="shared" si="21"/>
        <v>3</v>
      </c>
      <c r="N29" s="24">
        <f t="shared" si="21"/>
        <v>3</v>
      </c>
      <c r="O29" s="24">
        <f t="shared" si="21"/>
        <v>3</v>
      </c>
      <c r="P29" s="24">
        <f t="shared" si="21"/>
        <v>3</v>
      </c>
      <c r="Q29" s="24">
        <f t="shared" si="21"/>
        <v>3</v>
      </c>
      <c r="R29" s="24">
        <f t="shared" si="21"/>
        <v>3</v>
      </c>
      <c r="S29" s="10">
        <f t="shared" si="2"/>
        <v>18</v>
      </c>
      <c r="U29" s="26">
        <v>25</v>
      </c>
      <c r="V29">
        <f>'Calving input'!I42/2+'Calving input'!I44/2</f>
        <v>10</v>
      </c>
      <c r="W29" s="24">
        <f t="shared" si="22"/>
        <v>10</v>
      </c>
      <c r="X29" s="24">
        <f t="shared" si="22"/>
        <v>10</v>
      </c>
      <c r="Y29" s="24">
        <f t="shared" si="22"/>
        <v>10</v>
      </c>
      <c r="Z29" s="24">
        <f t="shared" si="22"/>
        <v>10</v>
      </c>
      <c r="AA29" s="24">
        <f t="shared" si="22"/>
        <v>10</v>
      </c>
      <c r="AB29" s="24">
        <f t="shared" si="22"/>
        <v>10</v>
      </c>
      <c r="AC29" s="24">
        <f t="shared" si="22"/>
        <v>10</v>
      </c>
      <c r="AD29" s="24">
        <f t="shared" si="22"/>
        <v>10</v>
      </c>
      <c r="AE29" s="24">
        <f t="shared" si="22"/>
        <v>10</v>
      </c>
      <c r="AF29" s="24">
        <f t="shared" si="22"/>
        <v>10</v>
      </c>
      <c r="AG29" s="24">
        <f t="shared" si="22"/>
        <v>10</v>
      </c>
      <c r="AH29" s="24">
        <f t="shared" si="22"/>
        <v>10</v>
      </c>
      <c r="AI29" s="24">
        <f t="shared" si="22"/>
        <v>10</v>
      </c>
      <c r="AJ29" s="10">
        <f t="shared" si="5"/>
        <v>60</v>
      </c>
      <c r="AL29" s="48">
        <f t="shared" si="16"/>
        <v>46142</v>
      </c>
      <c r="AM29" s="26">
        <v>25</v>
      </c>
      <c r="AN29" s="11">
        <f t="shared" si="6"/>
        <v>1891.1243988909159</v>
      </c>
      <c r="AO29" s="11">
        <f t="shared" si="7"/>
        <v>1837.2163510342193</v>
      </c>
      <c r="AP29" s="11">
        <f t="shared" si="8"/>
        <v>1771.0907029935574</v>
      </c>
      <c r="AQ29" s="11">
        <f t="shared" si="9"/>
        <v>1791.2336035321257</v>
      </c>
      <c r="AR29" s="11">
        <f t="shared" si="10"/>
        <v>1768.1890794900676</v>
      </c>
      <c r="AS29" s="11">
        <f t="shared" si="11"/>
        <v>1821.6890294000787</v>
      </c>
      <c r="AT29" s="11">
        <f t="shared" si="12"/>
        <v>1870.4657184958796</v>
      </c>
      <c r="AU29" s="11">
        <f t="shared" si="13"/>
        <v>1806.2045146699602</v>
      </c>
      <c r="AV29" s="11">
        <f t="shared" si="14"/>
        <v>1891.1243988909159</v>
      </c>
      <c r="AW29" s="15">
        <f t="shared" si="15"/>
        <v>56733.731966727479</v>
      </c>
      <c r="AX29" s="15">
        <f t="shared" si="17"/>
        <v>7968.1274900398412</v>
      </c>
      <c r="AY29" s="44">
        <f t="shared" si="18"/>
        <v>6772.9083665338649</v>
      </c>
    </row>
    <row r="30" spans="1:51" x14ac:dyDescent="0.25">
      <c r="D30" s="26">
        <v>26</v>
      </c>
      <c r="E30">
        <f>'Calving input'!H44/2+'Calving input'!H45/2</f>
        <v>3</v>
      </c>
      <c r="F30" s="24">
        <f t="shared" si="21"/>
        <v>3</v>
      </c>
      <c r="G30" s="24">
        <f t="shared" si="21"/>
        <v>3</v>
      </c>
      <c r="H30" s="24">
        <f t="shared" si="21"/>
        <v>3</v>
      </c>
      <c r="I30" s="24">
        <f t="shared" si="21"/>
        <v>3</v>
      </c>
      <c r="J30" s="24">
        <f t="shared" si="21"/>
        <v>3</v>
      </c>
      <c r="K30" s="24">
        <f t="shared" si="21"/>
        <v>3</v>
      </c>
      <c r="L30" s="24">
        <f t="shared" si="21"/>
        <v>3</v>
      </c>
      <c r="M30" s="24">
        <f t="shared" si="21"/>
        <v>3</v>
      </c>
      <c r="N30" s="24">
        <f t="shared" si="21"/>
        <v>3</v>
      </c>
      <c r="O30" s="24">
        <f t="shared" si="21"/>
        <v>3</v>
      </c>
      <c r="P30" s="24">
        <f t="shared" si="21"/>
        <v>3</v>
      </c>
      <c r="Q30" s="24">
        <f t="shared" si="21"/>
        <v>3</v>
      </c>
      <c r="R30" s="24">
        <f t="shared" si="21"/>
        <v>3</v>
      </c>
      <c r="S30" s="10">
        <f t="shared" si="2"/>
        <v>18</v>
      </c>
      <c r="U30" s="26">
        <v>26</v>
      </c>
      <c r="V30">
        <f>'Calving input'!I44/2+'Calving input'!I45/2</f>
        <v>10</v>
      </c>
      <c r="W30" s="24">
        <f t="shared" si="22"/>
        <v>10</v>
      </c>
      <c r="X30" s="24">
        <f t="shared" si="22"/>
        <v>10</v>
      </c>
      <c r="Y30" s="24">
        <f t="shared" si="22"/>
        <v>10</v>
      </c>
      <c r="Z30" s="24">
        <f t="shared" si="22"/>
        <v>10</v>
      </c>
      <c r="AA30" s="24">
        <f t="shared" si="22"/>
        <v>10</v>
      </c>
      <c r="AB30" s="24">
        <f t="shared" si="22"/>
        <v>10</v>
      </c>
      <c r="AC30" s="24">
        <f t="shared" si="22"/>
        <v>10</v>
      </c>
      <c r="AD30" s="24">
        <f t="shared" si="22"/>
        <v>10</v>
      </c>
      <c r="AE30" s="24">
        <f t="shared" si="22"/>
        <v>10</v>
      </c>
      <c r="AF30" s="24">
        <f t="shared" si="22"/>
        <v>10</v>
      </c>
      <c r="AG30" s="24">
        <f t="shared" si="22"/>
        <v>10</v>
      </c>
      <c r="AH30" s="24">
        <f t="shared" si="22"/>
        <v>10</v>
      </c>
      <c r="AI30" s="24">
        <f t="shared" si="22"/>
        <v>10</v>
      </c>
      <c r="AJ30" s="10">
        <f t="shared" si="5"/>
        <v>60</v>
      </c>
      <c r="AL30" s="48">
        <f t="shared" si="16"/>
        <v>46173</v>
      </c>
      <c r="AM30" s="26">
        <v>26</v>
      </c>
      <c r="AN30" s="11">
        <f t="shared" si="6"/>
        <v>1891.1243988909159</v>
      </c>
      <c r="AO30" s="11">
        <f t="shared" si="7"/>
        <v>1837.2163510342193</v>
      </c>
      <c r="AP30" s="11">
        <f t="shared" si="8"/>
        <v>1771.0907029935574</v>
      </c>
      <c r="AQ30" s="11">
        <f t="shared" si="9"/>
        <v>1791.2336035321257</v>
      </c>
      <c r="AR30" s="11">
        <f t="shared" si="10"/>
        <v>1768.1890794900676</v>
      </c>
      <c r="AS30" s="11">
        <f t="shared" si="11"/>
        <v>1821.6890294000787</v>
      </c>
      <c r="AT30" s="11">
        <f t="shared" si="12"/>
        <v>1870.4657184958796</v>
      </c>
      <c r="AU30" s="11">
        <f t="shared" si="13"/>
        <v>1806.2045146699602</v>
      </c>
      <c r="AV30" s="11">
        <f t="shared" si="14"/>
        <v>1891.1243988909159</v>
      </c>
      <c r="AW30" s="15">
        <f t="shared" si="15"/>
        <v>58624.856365618391</v>
      </c>
      <c r="AX30" s="15">
        <f t="shared" si="17"/>
        <v>7968.1274900398412</v>
      </c>
      <c r="AY30" s="44">
        <f t="shared" si="18"/>
        <v>6772.9083665338649</v>
      </c>
    </row>
    <row r="31" spans="1:51" x14ac:dyDescent="0.25">
      <c r="D31" s="26">
        <v>27</v>
      </c>
      <c r="E31">
        <f>'Calving input'!H45/2+'Calving input'!H46/2</f>
        <v>3</v>
      </c>
      <c r="F31" s="24">
        <f t="shared" si="21"/>
        <v>3</v>
      </c>
      <c r="G31" s="24">
        <f t="shared" si="21"/>
        <v>3</v>
      </c>
      <c r="H31" s="24">
        <f t="shared" si="21"/>
        <v>3</v>
      </c>
      <c r="I31" s="24">
        <f t="shared" si="21"/>
        <v>3</v>
      </c>
      <c r="J31" s="24">
        <f t="shared" si="21"/>
        <v>3</v>
      </c>
      <c r="K31" s="24">
        <f t="shared" si="21"/>
        <v>3</v>
      </c>
      <c r="L31" s="24">
        <f t="shared" si="21"/>
        <v>3</v>
      </c>
      <c r="M31" s="24">
        <f t="shared" si="21"/>
        <v>3</v>
      </c>
      <c r="N31" s="24">
        <f t="shared" si="21"/>
        <v>3</v>
      </c>
      <c r="O31" s="24">
        <f t="shared" si="21"/>
        <v>3</v>
      </c>
      <c r="P31" s="24">
        <f t="shared" si="21"/>
        <v>3</v>
      </c>
      <c r="Q31" s="24">
        <f t="shared" si="21"/>
        <v>3</v>
      </c>
      <c r="R31" s="24">
        <f t="shared" si="21"/>
        <v>3</v>
      </c>
      <c r="S31" s="10">
        <f t="shared" si="2"/>
        <v>18</v>
      </c>
      <c r="U31" s="26">
        <v>27</v>
      </c>
      <c r="V31">
        <f>'Calving input'!I45/2+'Calving input'!I46/2</f>
        <v>10</v>
      </c>
      <c r="W31" s="24">
        <f t="shared" si="22"/>
        <v>10</v>
      </c>
      <c r="X31" s="24">
        <f t="shared" si="22"/>
        <v>10</v>
      </c>
      <c r="Y31" s="24">
        <f t="shared" si="22"/>
        <v>10</v>
      </c>
      <c r="Z31" s="24">
        <f t="shared" si="22"/>
        <v>10</v>
      </c>
      <c r="AA31" s="24">
        <f t="shared" si="22"/>
        <v>10</v>
      </c>
      <c r="AB31" s="24">
        <f t="shared" si="22"/>
        <v>10</v>
      </c>
      <c r="AC31" s="24">
        <f t="shared" si="22"/>
        <v>10</v>
      </c>
      <c r="AD31" s="24">
        <f t="shared" si="22"/>
        <v>10</v>
      </c>
      <c r="AE31" s="24">
        <f t="shared" si="22"/>
        <v>10</v>
      </c>
      <c r="AF31" s="24">
        <f t="shared" si="22"/>
        <v>10</v>
      </c>
      <c r="AG31" s="24">
        <f t="shared" si="22"/>
        <v>10</v>
      </c>
      <c r="AH31" s="24">
        <f t="shared" si="22"/>
        <v>10</v>
      </c>
      <c r="AI31" s="24">
        <f t="shared" si="22"/>
        <v>10</v>
      </c>
      <c r="AJ31" s="10">
        <f t="shared" si="5"/>
        <v>60</v>
      </c>
      <c r="AL31" s="48">
        <f t="shared" si="16"/>
        <v>46203</v>
      </c>
      <c r="AM31" s="26">
        <v>27</v>
      </c>
      <c r="AN31" s="11">
        <f t="shared" si="6"/>
        <v>1891.1243988909159</v>
      </c>
      <c r="AO31" s="11">
        <f t="shared" si="7"/>
        <v>1837.2163510342193</v>
      </c>
      <c r="AP31" s="11">
        <f t="shared" si="8"/>
        <v>1771.0907029935574</v>
      </c>
      <c r="AQ31" s="11">
        <f t="shared" si="9"/>
        <v>1791.2336035321257</v>
      </c>
      <c r="AR31" s="11">
        <f t="shared" si="10"/>
        <v>1768.1890794900676</v>
      </c>
      <c r="AS31" s="11">
        <f t="shared" si="11"/>
        <v>1821.6890294000787</v>
      </c>
      <c r="AT31" s="11">
        <f t="shared" si="12"/>
        <v>1870.4657184958796</v>
      </c>
      <c r="AU31" s="11">
        <f t="shared" si="13"/>
        <v>1806.2045146699602</v>
      </c>
      <c r="AV31" s="11">
        <f t="shared" si="14"/>
        <v>1891.1243988909159</v>
      </c>
      <c r="AW31" s="15">
        <f t="shared" si="15"/>
        <v>56733.731966727479</v>
      </c>
      <c r="AX31" s="15">
        <f t="shared" si="17"/>
        <v>7968.1274900398412</v>
      </c>
      <c r="AY31" s="44">
        <f t="shared" si="18"/>
        <v>6772.9083665338649</v>
      </c>
    </row>
    <row r="32" spans="1:51" x14ac:dyDescent="0.25">
      <c r="D32" s="26">
        <v>28</v>
      </c>
      <c r="E32">
        <f>'Calving input'!H46/2+'Calving input'!H47/2</f>
        <v>3</v>
      </c>
      <c r="F32" s="24">
        <f t="shared" si="21"/>
        <v>3</v>
      </c>
      <c r="G32" s="24">
        <f t="shared" si="21"/>
        <v>3</v>
      </c>
      <c r="H32" s="24">
        <f t="shared" si="21"/>
        <v>3</v>
      </c>
      <c r="I32" s="24">
        <f t="shared" si="21"/>
        <v>3</v>
      </c>
      <c r="J32" s="24">
        <f t="shared" si="21"/>
        <v>3</v>
      </c>
      <c r="K32" s="24">
        <f t="shared" si="21"/>
        <v>3</v>
      </c>
      <c r="L32" s="24">
        <f t="shared" si="21"/>
        <v>3</v>
      </c>
      <c r="M32" s="24">
        <f t="shared" si="21"/>
        <v>3</v>
      </c>
      <c r="N32" s="24">
        <f t="shared" si="21"/>
        <v>3</v>
      </c>
      <c r="O32" s="24">
        <f t="shared" si="21"/>
        <v>3</v>
      </c>
      <c r="P32" s="24">
        <f t="shared" si="21"/>
        <v>3</v>
      </c>
      <c r="Q32" s="24">
        <f t="shared" si="21"/>
        <v>3</v>
      </c>
      <c r="R32" s="24">
        <f t="shared" si="21"/>
        <v>3</v>
      </c>
      <c r="S32" s="10">
        <f t="shared" si="2"/>
        <v>18</v>
      </c>
      <c r="U32" s="26">
        <v>28</v>
      </c>
      <c r="V32">
        <f>'Calving input'!I46/2+'Calving input'!I47/2</f>
        <v>10</v>
      </c>
      <c r="W32" s="24">
        <f t="shared" si="22"/>
        <v>10</v>
      </c>
      <c r="X32" s="24">
        <f t="shared" si="22"/>
        <v>10</v>
      </c>
      <c r="Y32" s="24">
        <f t="shared" si="22"/>
        <v>10</v>
      </c>
      <c r="Z32" s="24">
        <f t="shared" si="22"/>
        <v>10</v>
      </c>
      <c r="AA32" s="24">
        <f t="shared" si="22"/>
        <v>10</v>
      </c>
      <c r="AB32" s="24">
        <f t="shared" si="22"/>
        <v>10</v>
      </c>
      <c r="AC32" s="24">
        <f t="shared" si="22"/>
        <v>10</v>
      </c>
      <c r="AD32" s="24">
        <f t="shared" si="22"/>
        <v>10</v>
      </c>
      <c r="AE32" s="24">
        <f t="shared" si="22"/>
        <v>10</v>
      </c>
      <c r="AF32" s="24">
        <f t="shared" si="22"/>
        <v>10</v>
      </c>
      <c r="AG32" s="24">
        <f t="shared" si="22"/>
        <v>10</v>
      </c>
      <c r="AH32" s="24">
        <f t="shared" si="22"/>
        <v>10</v>
      </c>
      <c r="AI32" s="24">
        <f t="shared" si="22"/>
        <v>10</v>
      </c>
      <c r="AJ32" s="10">
        <f t="shared" si="5"/>
        <v>60</v>
      </c>
      <c r="AL32" s="48">
        <f t="shared" si="16"/>
        <v>46234</v>
      </c>
      <c r="AM32" s="26">
        <v>28</v>
      </c>
      <c r="AN32" s="11">
        <f t="shared" si="6"/>
        <v>1891.1243988909159</v>
      </c>
      <c r="AO32" s="11">
        <f t="shared" si="7"/>
        <v>1837.2163510342193</v>
      </c>
      <c r="AP32" s="11">
        <f t="shared" si="8"/>
        <v>1771.0907029935574</v>
      </c>
      <c r="AQ32" s="11">
        <f t="shared" si="9"/>
        <v>1791.2336035321257</v>
      </c>
      <c r="AR32" s="11">
        <f t="shared" si="10"/>
        <v>1768.1890794900676</v>
      </c>
      <c r="AS32" s="11">
        <f t="shared" si="11"/>
        <v>1821.6890294000787</v>
      </c>
      <c r="AT32" s="11">
        <f t="shared" si="12"/>
        <v>1870.4657184958796</v>
      </c>
      <c r="AU32" s="11">
        <f t="shared" si="13"/>
        <v>1806.2045146699602</v>
      </c>
      <c r="AV32" s="11">
        <f t="shared" si="14"/>
        <v>1891.1243988909159</v>
      </c>
      <c r="AW32" s="15">
        <f t="shared" si="15"/>
        <v>58624.856365618391</v>
      </c>
      <c r="AX32" s="15">
        <f t="shared" si="17"/>
        <v>7968.1274900398412</v>
      </c>
      <c r="AY32" s="44">
        <f t="shared" si="18"/>
        <v>6772.9083665338649</v>
      </c>
    </row>
    <row r="33" spans="2:51" x14ac:dyDescent="0.25">
      <c r="D33" s="26">
        <v>29</v>
      </c>
      <c r="E33">
        <f>'Calving input'!H47/2+'Calving input'!H48/2</f>
        <v>3</v>
      </c>
      <c r="F33" s="24">
        <f t="shared" si="21"/>
        <v>3</v>
      </c>
      <c r="G33" s="24">
        <f t="shared" si="21"/>
        <v>3</v>
      </c>
      <c r="H33" s="24">
        <f t="shared" si="21"/>
        <v>3</v>
      </c>
      <c r="I33" s="24">
        <f t="shared" si="21"/>
        <v>3</v>
      </c>
      <c r="J33" s="24">
        <f t="shared" si="21"/>
        <v>3</v>
      </c>
      <c r="K33" s="24">
        <f t="shared" si="21"/>
        <v>3</v>
      </c>
      <c r="L33" s="24">
        <f t="shared" si="21"/>
        <v>3</v>
      </c>
      <c r="M33" s="24">
        <f t="shared" si="21"/>
        <v>3</v>
      </c>
      <c r="N33" s="24">
        <f t="shared" si="21"/>
        <v>3</v>
      </c>
      <c r="O33" s="24">
        <f t="shared" si="21"/>
        <v>3</v>
      </c>
      <c r="P33" s="24">
        <f t="shared" si="21"/>
        <v>3</v>
      </c>
      <c r="Q33" s="24">
        <f t="shared" si="21"/>
        <v>3</v>
      </c>
      <c r="R33" s="24">
        <f t="shared" si="21"/>
        <v>3</v>
      </c>
      <c r="S33" s="10">
        <f t="shared" si="2"/>
        <v>18</v>
      </c>
      <c r="U33" s="26">
        <v>29</v>
      </c>
      <c r="V33">
        <f>'Calving input'!I47/2+'Calving input'!I48/2</f>
        <v>10</v>
      </c>
      <c r="W33" s="24">
        <f t="shared" si="22"/>
        <v>10</v>
      </c>
      <c r="X33" s="24">
        <f t="shared" si="22"/>
        <v>10</v>
      </c>
      <c r="Y33" s="24">
        <f t="shared" si="22"/>
        <v>10</v>
      </c>
      <c r="Z33" s="24">
        <f t="shared" si="22"/>
        <v>10</v>
      </c>
      <c r="AA33" s="24">
        <f t="shared" si="22"/>
        <v>10</v>
      </c>
      <c r="AB33" s="24">
        <f t="shared" si="22"/>
        <v>10</v>
      </c>
      <c r="AC33" s="24">
        <f t="shared" si="22"/>
        <v>10</v>
      </c>
      <c r="AD33" s="24">
        <f t="shared" si="22"/>
        <v>10</v>
      </c>
      <c r="AE33" s="24">
        <f t="shared" si="22"/>
        <v>10</v>
      </c>
      <c r="AF33" s="24">
        <f t="shared" si="22"/>
        <v>10</v>
      </c>
      <c r="AG33" s="24">
        <f t="shared" si="22"/>
        <v>10</v>
      </c>
      <c r="AH33" s="24">
        <f t="shared" si="22"/>
        <v>10</v>
      </c>
      <c r="AI33" s="24">
        <f t="shared" si="22"/>
        <v>10</v>
      </c>
      <c r="AJ33" s="10">
        <f t="shared" si="5"/>
        <v>60</v>
      </c>
      <c r="AL33" s="48">
        <f t="shared" si="16"/>
        <v>46265</v>
      </c>
      <c r="AM33" s="26">
        <v>29</v>
      </c>
      <c r="AN33" s="11">
        <f t="shared" si="6"/>
        <v>1891.1243988909159</v>
      </c>
      <c r="AO33" s="11">
        <f t="shared" si="7"/>
        <v>1837.2163510342193</v>
      </c>
      <c r="AP33" s="11">
        <f t="shared" si="8"/>
        <v>1771.0907029935574</v>
      </c>
      <c r="AQ33" s="11">
        <f t="shared" si="9"/>
        <v>1791.2336035321257</v>
      </c>
      <c r="AR33" s="11">
        <f t="shared" si="10"/>
        <v>1768.1890794900676</v>
      </c>
      <c r="AS33" s="11">
        <f t="shared" si="11"/>
        <v>1821.6890294000787</v>
      </c>
      <c r="AT33" s="11">
        <f t="shared" si="12"/>
        <v>1870.4657184958796</v>
      </c>
      <c r="AU33" s="11">
        <f t="shared" si="13"/>
        <v>1806.2045146699602</v>
      </c>
      <c r="AV33" s="11">
        <f t="shared" si="14"/>
        <v>1891.1243988909159</v>
      </c>
      <c r="AW33" s="15">
        <f t="shared" si="15"/>
        <v>58624.856365618391</v>
      </c>
      <c r="AX33" s="15">
        <f t="shared" si="17"/>
        <v>7968.1274900398412</v>
      </c>
      <c r="AY33" s="44">
        <f t="shared" si="18"/>
        <v>6772.9083665338649</v>
      </c>
    </row>
    <row r="34" spans="2:51" x14ac:dyDescent="0.25">
      <c r="D34" s="26">
        <v>30</v>
      </c>
      <c r="E34">
        <f>'Calving input'!H48/2+'Calving input'!H49/2</f>
        <v>3</v>
      </c>
      <c r="F34" s="24">
        <f t="shared" si="21"/>
        <v>3</v>
      </c>
      <c r="G34" s="24">
        <f t="shared" si="21"/>
        <v>3</v>
      </c>
      <c r="H34" s="24">
        <f t="shared" si="21"/>
        <v>3</v>
      </c>
      <c r="I34" s="24">
        <f t="shared" si="21"/>
        <v>3</v>
      </c>
      <c r="J34" s="24">
        <f t="shared" si="21"/>
        <v>3</v>
      </c>
      <c r="K34" s="24">
        <f t="shared" si="21"/>
        <v>3</v>
      </c>
      <c r="L34" s="24">
        <f t="shared" si="21"/>
        <v>3</v>
      </c>
      <c r="M34" s="24">
        <f t="shared" si="21"/>
        <v>3</v>
      </c>
      <c r="N34" s="24">
        <f t="shared" si="21"/>
        <v>3</v>
      </c>
      <c r="O34" s="24">
        <f t="shared" si="21"/>
        <v>3</v>
      </c>
      <c r="P34" s="24">
        <f t="shared" si="21"/>
        <v>3</v>
      </c>
      <c r="Q34" s="24">
        <f t="shared" si="21"/>
        <v>3</v>
      </c>
      <c r="R34" s="24">
        <f t="shared" si="21"/>
        <v>3</v>
      </c>
      <c r="S34" s="10">
        <f t="shared" si="2"/>
        <v>18</v>
      </c>
      <c r="U34" s="26">
        <v>30</v>
      </c>
      <c r="V34">
        <f>'Calving input'!I48/2+'Calving input'!I49/2</f>
        <v>10</v>
      </c>
      <c r="W34" s="24">
        <f t="shared" si="22"/>
        <v>10</v>
      </c>
      <c r="X34" s="24">
        <f t="shared" si="22"/>
        <v>10</v>
      </c>
      <c r="Y34" s="24">
        <f t="shared" si="22"/>
        <v>10</v>
      </c>
      <c r="Z34" s="24">
        <f t="shared" si="22"/>
        <v>10</v>
      </c>
      <c r="AA34" s="24">
        <f t="shared" si="22"/>
        <v>10</v>
      </c>
      <c r="AB34" s="24">
        <f t="shared" si="22"/>
        <v>10</v>
      </c>
      <c r="AC34" s="24">
        <f t="shared" si="22"/>
        <v>10</v>
      </c>
      <c r="AD34" s="24">
        <f t="shared" si="22"/>
        <v>10</v>
      </c>
      <c r="AE34" s="24">
        <f t="shared" si="22"/>
        <v>10</v>
      </c>
      <c r="AF34" s="24">
        <f t="shared" si="22"/>
        <v>10</v>
      </c>
      <c r="AG34" s="24">
        <f t="shared" si="22"/>
        <v>10</v>
      </c>
      <c r="AH34" s="24">
        <f t="shared" si="22"/>
        <v>10</v>
      </c>
      <c r="AI34" s="24">
        <f t="shared" si="22"/>
        <v>10</v>
      </c>
      <c r="AJ34" s="10">
        <f t="shared" si="5"/>
        <v>60</v>
      </c>
      <c r="AL34" s="48">
        <f t="shared" si="16"/>
        <v>46295</v>
      </c>
      <c r="AM34" s="26">
        <v>30</v>
      </c>
      <c r="AN34" s="11">
        <f t="shared" si="6"/>
        <v>1891.1243988909159</v>
      </c>
      <c r="AO34" s="11">
        <f t="shared" si="7"/>
        <v>1837.2163510342193</v>
      </c>
      <c r="AP34" s="11">
        <f t="shared" si="8"/>
        <v>1771.0907029935574</v>
      </c>
      <c r="AQ34" s="11">
        <f t="shared" si="9"/>
        <v>1791.2336035321257</v>
      </c>
      <c r="AR34" s="11">
        <f t="shared" si="10"/>
        <v>1768.1890794900676</v>
      </c>
      <c r="AS34" s="11">
        <f t="shared" si="11"/>
        <v>1821.6890294000787</v>
      </c>
      <c r="AT34" s="11">
        <f t="shared" si="12"/>
        <v>1870.4657184958796</v>
      </c>
      <c r="AU34" s="11">
        <f t="shared" si="13"/>
        <v>1806.2045146699602</v>
      </c>
      <c r="AV34" s="11">
        <f t="shared" si="14"/>
        <v>1891.1243988909159</v>
      </c>
      <c r="AW34" s="15">
        <f t="shared" si="15"/>
        <v>56733.731966727479</v>
      </c>
      <c r="AX34" s="15">
        <f t="shared" si="17"/>
        <v>7968.1274900398412</v>
      </c>
      <c r="AY34" s="44">
        <f t="shared" si="18"/>
        <v>6772.9083665338649</v>
      </c>
    </row>
    <row r="35" spans="2:51" x14ac:dyDescent="0.25">
      <c r="D35" s="26">
        <v>31</v>
      </c>
      <c r="E35">
        <f>'Calving input'!H49/2+'Calving input'!H50/2</f>
        <v>3</v>
      </c>
      <c r="F35" s="24">
        <f t="shared" si="21"/>
        <v>3</v>
      </c>
      <c r="G35" s="24">
        <f t="shared" si="21"/>
        <v>3</v>
      </c>
      <c r="H35" s="24">
        <f t="shared" si="21"/>
        <v>3</v>
      </c>
      <c r="I35" s="24">
        <f t="shared" si="21"/>
        <v>3</v>
      </c>
      <c r="J35" s="24">
        <f t="shared" si="21"/>
        <v>3</v>
      </c>
      <c r="K35" s="24">
        <f t="shared" si="21"/>
        <v>3</v>
      </c>
      <c r="L35" s="24">
        <f t="shared" si="21"/>
        <v>3</v>
      </c>
      <c r="M35" s="24">
        <f t="shared" si="21"/>
        <v>3</v>
      </c>
      <c r="N35" s="24">
        <f t="shared" si="21"/>
        <v>3</v>
      </c>
      <c r="O35" s="24">
        <f t="shared" si="21"/>
        <v>3</v>
      </c>
      <c r="P35" s="24">
        <f t="shared" si="21"/>
        <v>3</v>
      </c>
      <c r="Q35" s="24">
        <f t="shared" si="21"/>
        <v>3</v>
      </c>
      <c r="R35" s="24">
        <f t="shared" si="21"/>
        <v>3</v>
      </c>
      <c r="S35" s="10">
        <f t="shared" si="2"/>
        <v>18</v>
      </c>
      <c r="U35" s="26">
        <v>31</v>
      </c>
      <c r="V35">
        <f>'Calving input'!I49/2+'Calving input'!I50/2</f>
        <v>10</v>
      </c>
      <c r="W35" s="24">
        <f t="shared" si="22"/>
        <v>10</v>
      </c>
      <c r="X35" s="24">
        <f t="shared" si="22"/>
        <v>10</v>
      </c>
      <c r="Y35" s="24">
        <f t="shared" si="22"/>
        <v>10</v>
      </c>
      <c r="Z35" s="24">
        <f t="shared" si="22"/>
        <v>10</v>
      </c>
      <c r="AA35" s="24">
        <f t="shared" si="22"/>
        <v>10</v>
      </c>
      <c r="AB35" s="24">
        <f t="shared" si="22"/>
        <v>10</v>
      </c>
      <c r="AC35" s="24">
        <f t="shared" si="22"/>
        <v>10</v>
      </c>
      <c r="AD35" s="24">
        <f t="shared" si="22"/>
        <v>10</v>
      </c>
      <c r="AE35" s="24">
        <f t="shared" si="22"/>
        <v>10</v>
      </c>
      <c r="AF35" s="24">
        <f t="shared" si="22"/>
        <v>10</v>
      </c>
      <c r="AG35" s="24">
        <f t="shared" si="22"/>
        <v>10</v>
      </c>
      <c r="AH35" s="24">
        <f t="shared" si="22"/>
        <v>10</v>
      </c>
      <c r="AI35" s="24">
        <f t="shared" si="22"/>
        <v>10</v>
      </c>
      <c r="AJ35" s="10">
        <f t="shared" si="5"/>
        <v>60</v>
      </c>
      <c r="AL35" s="48">
        <f t="shared" si="16"/>
        <v>46326</v>
      </c>
      <c r="AM35" s="26">
        <v>31</v>
      </c>
      <c r="AN35" s="11">
        <f t="shared" si="6"/>
        <v>1891.1243988909159</v>
      </c>
      <c r="AO35" s="11">
        <f t="shared" si="7"/>
        <v>1837.2163510342193</v>
      </c>
      <c r="AP35" s="11">
        <f t="shared" si="8"/>
        <v>1771.0907029935574</v>
      </c>
      <c r="AQ35" s="11">
        <f t="shared" si="9"/>
        <v>1791.2336035321257</v>
      </c>
      <c r="AR35" s="11">
        <f t="shared" si="10"/>
        <v>1768.1890794900676</v>
      </c>
      <c r="AS35" s="11">
        <f t="shared" si="11"/>
        <v>1821.6890294000787</v>
      </c>
      <c r="AT35" s="11">
        <f t="shared" si="12"/>
        <v>1870.4657184958796</v>
      </c>
      <c r="AU35" s="11">
        <f t="shared" si="13"/>
        <v>1806.2045146699602</v>
      </c>
      <c r="AV35" s="11">
        <f t="shared" si="14"/>
        <v>1891.1243988909159</v>
      </c>
      <c r="AW35" s="15">
        <f t="shared" si="15"/>
        <v>58624.856365618391</v>
      </c>
      <c r="AX35" s="15">
        <f t="shared" si="17"/>
        <v>7968.1274900398412</v>
      </c>
      <c r="AY35" s="44">
        <f t="shared" si="18"/>
        <v>6772.9083665338649</v>
      </c>
    </row>
    <row r="36" spans="2:51" x14ac:dyDescent="0.25">
      <c r="D36" s="26">
        <v>32</v>
      </c>
      <c r="E36">
        <f>'Calving input'!H50/2+'Calving input'!H51/2</f>
        <v>3</v>
      </c>
      <c r="F36" s="24">
        <f t="shared" si="21"/>
        <v>3</v>
      </c>
      <c r="G36" s="24">
        <f t="shared" si="21"/>
        <v>3</v>
      </c>
      <c r="H36" s="24">
        <f t="shared" si="21"/>
        <v>3</v>
      </c>
      <c r="I36" s="24">
        <f t="shared" si="21"/>
        <v>3</v>
      </c>
      <c r="J36" s="24">
        <f t="shared" si="21"/>
        <v>3</v>
      </c>
      <c r="K36" s="24">
        <f t="shared" si="21"/>
        <v>3</v>
      </c>
      <c r="L36" s="24">
        <f t="shared" si="21"/>
        <v>3</v>
      </c>
      <c r="M36" s="24">
        <f t="shared" si="21"/>
        <v>3</v>
      </c>
      <c r="N36" s="24">
        <f t="shared" si="21"/>
        <v>3</v>
      </c>
      <c r="O36" s="24">
        <f t="shared" si="21"/>
        <v>3</v>
      </c>
      <c r="P36" s="24">
        <f t="shared" si="21"/>
        <v>3</v>
      </c>
      <c r="Q36" s="24">
        <f t="shared" si="21"/>
        <v>3</v>
      </c>
      <c r="R36" s="24">
        <f t="shared" si="21"/>
        <v>3</v>
      </c>
      <c r="S36" s="10">
        <f t="shared" si="2"/>
        <v>18</v>
      </c>
      <c r="U36" s="26">
        <v>32</v>
      </c>
      <c r="V36">
        <f>'Calving input'!I50/2+'Calving input'!I51/2</f>
        <v>10</v>
      </c>
      <c r="W36" s="24">
        <f t="shared" si="22"/>
        <v>10</v>
      </c>
      <c r="X36" s="24">
        <f t="shared" si="22"/>
        <v>10</v>
      </c>
      <c r="Y36" s="24">
        <f t="shared" si="22"/>
        <v>10</v>
      </c>
      <c r="Z36" s="24">
        <f t="shared" si="22"/>
        <v>10</v>
      </c>
      <c r="AA36" s="24">
        <f t="shared" si="22"/>
        <v>10</v>
      </c>
      <c r="AB36" s="24">
        <f t="shared" si="22"/>
        <v>10</v>
      </c>
      <c r="AC36" s="24">
        <f t="shared" si="22"/>
        <v>10</v>
      </c>
      <c r="AD36" s="24">
        <f t="shared" si="22"/>
        <v>10</v>
      </c>
      <c r="AE36" s="24">
        <f t="shared" si="22"/>
        <v>10</v>
      </c>
      <c r="AF36" s="24">
        <f t="shared" si="22"/>
        <v>10</v>
      </c>
      <c r="AG36" s="24">
        <f t="shared" si="22"/>
        <v>10</v>
      </c>
      <c r="AH36" s="24">
        <f t="shared" si="22"/>
        <v>10</v>
      </c>
      <c r="AI36" s="24">
        <f t="shared" si="22"/>
        <v>10</v>
      </c>
      <c r="AJ36" s="10">
        <f t="shared" si="5"/>
        <v>60</v>
      </c>
      <c r="AL36" s="48">
        <f t="shared" si="16"/>
        <v>46356</v>
      </c>
      <c r="AM36" s="26">
        <v>32</v>
      </c>
      <c r="AN36" s="11">
        <f t="shared" si="6"/>
        <v>1891.1243988909159</v>
      </c>
      <c r="AO36" s="11">
        <f t="shared" si="7"/>
        <v>1837.2163510342193</v>
      </c>
      <c r="AP36" s="11">
        <f t="shared" si="8"/>
        <v>1771.0907029935574</v>
      </c>
      <c r="AQ36" s="11">
        <f t="shared" si="9"/>
        <v>1791.2336035321257</v>
      </c>
      <c r="AR36" s="11">
        <f t="shared" si="10"/>
        <v>1768.1890794900676</v>
      </c>
      <c r="AS36" s="11">
        <f t="shared" si="11"/>
        <v>1821.6890294000787</v>
      </c>
      <c r="AT36" s="11">
        <f t="shared" si="12"/>
        <v>1870.4657184958796</v>
      </c>
      <c r="AU36" s="11">
        <f t="shared" si="13"/>
        <v>1806.2045146699602</v>
      </c>
      <c r="AV36" s="11">
        <f t="shared" si="14"/>
        <v>1891.1243988909159</v>
      </c>
      <c r="AW36" s="15">
        <f t="shared" si="15"/>
        <v>56733.731966727479</v>
      </c>
      <c r="AX36" s="15">
        <f t="shared" si="17"/>
        <v>7968.1274900398412</v>
      </c>
      <c r="AY36" s="44">
        <f t="shared" si="18"/>
        <v>6772.9083665338649</v>
      </c>
    </row>
    <row r="37" spans="2:51" x14ac:dyDescent="0.25">
      <c r="D37" s="26">
        <v>33</v>
      </c>
      <c r="E37">
        <f>'Calving input'!H51/2+'Calving input'!H52/2</f>
        <v>3</v>
      </c>
      <c r="F37" s="24">
        <f t="shared" si="21"/>
        <v>3</v>
      </c>
      <c r="G37" s="24">
        <f t="shared" si="21"/>
        <v>3</v>
      </c>
      <c r="H37" s="24">
        <f t="shared" si="21"/>
        <v>3</v>
      </c>
      <c r="I37" s="24">
        <f t="shared" si="21"/>
        <v>3</v>
      </c>
      <c r="J37" s="24">
        <f t="shared" si="21"/>
        <v>3</v>
      </c>
      <c r="K37" s="24">
        <f t="shared" si="21"/>
        <v>3</v>
      </c>
      <c r="L37" s="24">
        <f t="shared" si="21"/>
        <v>3</v>
      </c>
      <c r="M37" s="24">
        <f t="shared" si="21"/>
        <v>3</v>
      </c>
      <c r="N37" s="24">
        <f t="shared" si="21"/>
        <v>3</v>
      </c>
      <c r="O37" s="24">
        <f t="shared" si="21"/>
        <v>3</v>
      </c>
      <c r="P37" s="24">
        <f t="shared" si="21"/>
        <v>3</v>
      </c>
      <c r="Q37" s="24">
        <f t="shared" si="21"/>
        <v>3</v>
      </c>
      <c r="R37" s="24">
        <f t="shared" si="21"/>
        <v>3</v>
      </c>
      <c r="S37" s="10">
        <f t="shared" si="2"/>
        <v>18</v>
      </c>
      <c r="U37" s="26">
        <v>33</v>
      </c>
      <c r="V37">
        <f>'Calving input'!I51/2+'Calving input'!I52/2</f>
        <v>10</v>
      </c>
      <c r="W37" s="24">
        <f t="shared" si="22"/>
        <v>10</v>
      </c>
      <c r="X37" s="24">
        <f t="shared" si="22"/>
        <v>10</v>
      </c>
      <c r="Y37" s="24">
        <f t="shared" si="22"/>
        <v>10</v>
      </c>
      <c r="Z37" s="24">
        <f t="shared" si="22"/>
        <v>10</v>
      </c>
      <c r="AA37" s="24">
        <f t="shared" si="22"/>
        <v>10</v>
      </c>
      <c r="AB37" s="24">
        <f t="shared" si="22"/>
        <v>10</v>
      </c>
      <c r="AC37" s="24">
        <f t="shared" si="22"/>
        <v>10</v>
      </c>
      <c r="AD37" s="24">
        <f t="shared" si="22"/>
        <v>10</v>
      </c>
      <c r="AE37" s="24">
        <f t="shared" si="22"/>
        <v>10</v>
      </c>
      <c r="AF37" s="24">
        <f t="shared" si="22"/>
        <v>10</v>
      </c>
      <c r="AG37" s="24">
        <f t="shared" si="22"/>
        <v>10</v>
      </c>
      <c r="AH37" s="24">
        <f t="shared" si="22"/>
        <v>10</v>
      </c>
      <c r="AI37" s="24">
        <f t="shared" si="22"/>
        <v>10</v>
      </c>
      <c r="AJ37" s="10">
        <f t="shared" si="5"/>
        <v>60</v>
      </c>
      <c r="AL37" s="48">
        <f t="shared" si="16"/>
        <v>46387</v>
      </c>
      <c r="AM37" s="26">
        <v>33</v>
      </c>
      <c r="AN37" s="11">
        <f t="shared" si="6"/>
        <v>1891.1243988909159</v>
      </c>
      <c r="AO37" s="11">
        <f t="shared" si="7"/>
        <v>1837.2163510342193</v>
      </c>
      <c r="AP37" s="11">
        <f t="shared" si="8"/>
        <v>1771.0907029935574</v>
      </c>
      <c r="AQ37" s="11">
        <f t="shared" si="9"/>
        <v>1791.2336035321257</v>
      </c>
      <c r="AR37" s="11">
        <f t="shared" si="10"/>
        <v>1768.1890794900676</v>
      </c>
      <c r="AS37" s="11">
        <f t="shared" si="11"/>
        <v>1821.6890294000787</v>
      </c>
      <c r="AT37" s="11">
        <f t="shared" si="12"/>
        <v>1870.4657184958796</v>
      </c>
      <c r="AU37" s="11">
        <f t="shared" si="13"/>
        <v>1806.2045146699602</v>
      </c>
      <c r="AV37" s="11">
        <f t="shared" si="14"/>
        <v>1891.1243988909159</v>
      </c>
      <c r="AW37" s="15">
        <f t="shared" si="15"/>
        <v>58624.856365618391</v>
      </c>
      <c r="AX37" s="15">
        <f t="shared" si="17"/>
        <v>7968.1274900398412</v>
      </c>
      <c r="AY37" s="44">
        <f t="shared" si="18"/>
        <v>6772.9083665338649</v>
      </c>
    </row>
    <row r="38" spans="2:51" x14ac:dyDescent="0.25">
      <c r="D38" s="26">
        <v>34</v>
      </c>
      <c r="E38">
        <f>'Calving input'!H52/2+'Calving input'!H53/2</f>
        <v>3</v>
      </c>
      <c r="F38" s="24">
        <f t="shared" si="21"/>
        <v>3</v>
      </c>
      <c r="G38" s="24">
        <f t="shared" si="21"/>
        <v>3</v>
      </c>
      <c r="H38" s="24">
        <f t="shared" si="21"/>
        <v>3</v>
      </c>
      <c r="I38" s="24">
        <f t="shared" si="21"/>
        <v>3</v>
      </c>
      <c r="J38" s="24">
        <f t="shared" si="21"/>
        <v>3</v>
      </c>
      <c r="K38" s="24">
        <f t="shared" si="21"/>
        <v>3</v>
      </c>
      <c r="L38" s="24">
        <f t="shared" si="21"/>
        <v>3</v>
      </c>
      <c r="M38" s="24">
        <f t="shared" si="21"/>
        <v>3</v>
      </c>
      <c r="N38" s="24">
        <f t="shared" si="21"/>
        <v>3</v>
      </c>
      <c r="O38" s="24">
        <f t="shared" si="21"/>
        <v>3</v>
      </c>
      <c r="P38" s="24">
        <f t="shared" si="21"/>
        <v>3</v>
      </c>
      <c r="Q38" s="24">
        <f t="shared" si="21"/>
        <v>3</v>
      </c>
      <c r="R38" s="24">
        <f t="shared" si="21"/>
        <v>3</v>
      </c>
      <c r="S38" s="10">
        <f t="shared" si="2"/>
        <v>18</v>
      </c>
      <c r="U38" s="26">
        <v>34</v>
      </c>
      <c r="V38">
        <f>'Calving input'!I52/2+'Calving input'!I53/2</f>
        <v>10</v>
      </c>
      <c r="W38" s="24">
        <f t="shared" si="22"/>
        <v>10</v>
      </c>
      <c r="X38" s="24">
        <f t="shared" si="22"/>
        <v>10</v>
      </c>
      <c r="Y38" s="24">
        <f t="shared" si="22"/>
        <v>10</v>
      </c>
      <c r="Z38" s="24">
        <f t="shared" si="22"/>
        <v>10</v>
      </c>
      <c r="AA38" s="24">
        <f t="shared" si="22"/>
        <v>10</v>
      </c>
      <c r="AB38" s="24">
        <f t="shared" si="22"/>
        <v>10</v>
      </c>
      <c r="AC38" s="24">
        <f t="shared" si="22"/>
        <v>10</v>
      </c>
      <c r="AD38" s="24">
        <f t="shared" si="22"/>
        <v>10</v>
      </c>
      <c r="AE38" s="24">
        <f t="shared" si="22"/>
        <v>10</v>
      </c>
      <c r="AF38" s="24">
        <f t="shared" si="22"/>
        <v>10</v>
      </c>
      <c r="AG38" s="24">
        <f t="shared" si="22"/>
        <v>10</v>
      </c>
      <c r="AH38" s="24">
        <f t="shared" si="22"/>
        <v>10</v>
      </c>
      <c r="AI38" s="24">
        <f t="shared" si="22"/>
        <v>10</v>
      </c>
      <c r="AJ38" s="10">
        <f t="shared" si="5"/>
        <v>60</v>
      </c>
      <c r="AL38" s="48">
        <f t="shared" si="16"/>
        <v>46418</v>
      </c>
      <c r="AM38" s="26">
        <v>34</v>
      </c>
      <c r="AN38" s="11">
        <f t="shared" si="6"/>
        <v>1891.1243988909159</v>
      </c>
      <c r="AO38" s="11">
        <f t="shared" si="7"/>
        <v>1837.2163510342193</v>
      </c>
      <c r="AP38" s="11">
        <f t="shared" si="8"/>
        <v>1771.0907029935574</v>
      </c>
      <c r="AQ38" s="11">
        <f t="shared" si="9"/>
        <v>1791.2336035321257</v>
      </c>
      <c r="AR38" s="11">
        <f t="shared" si="10"/>
        <v>1768.1890794900676</v>
      </c>
      <c r="AS38" s="11">
        <f t="shared" si="11"/>
        <v>1821.6890294000787</v>
      </c>
      <c r="AT38" s="11">
        <f t="shared" si="12"/>
        <v>1870.4657184958796</v>
      </c>
      <c r="AU38" s="11">
        <f t="shared" si="13"/>
        <v>1806.2045146699602</v>
      </c>
      <c r="AV38" s="11">
        <f t="shared" si="14"/>
        <v>1891.1243988909159</v>
      </c>
      <c r="AW38" s="15">
        <f t="shared" si="15"/>
        <v>58624.856365618391</v>
      </c>
      <c r="AX38" s="15">
        <f t="shared" si="17"/>
        <v>7968.1274900398412</v>
      </c>
      <c r="AY38" s="44">
        <f t="shared" si="18"/>
        <v>6772.9083665338649</v>
      </c>
    </row>
    <row r="39" spans="2:51" x14ac:dyDescent="0.25">
      <c r="D39" s="26">
        <v>35</v>
      </c>
      <c r="E39">
        <f>'Calving input'!H53/2+'Calving input'!H54/2</f>
        <v>3</v>
      </c>
      <c r="F39" s="24">
        <f t="shared" si="21"/>
        <v>3</v>
      </c>
      <c r="G39" s="24">
        <f t="shared" si="21"/>
        <v>3</v>
      </c>
      <c r="H39" s="24">
        <f t="shared" si="21"/>
        <v>3</v>
      </c>
      <c r="I39" s="24">
        <f t="shared" si="21"/>
        <v>3</v>
      </c>
      <c r="J39" s="24">
        <f t="shared" si="21"/>
        <v>3</v>
      </c>
      <c r="K39" s="24">
        <f t="shared" si="21"/>
        <v>3</v>
      </c>
      <c r="L39" s="24">
        <f t="shared" si="21"/>
        <v>3</v>
      </c>
      <c r="M39" s="24">
        <f t="shared" si="21"/>
        <v>3</v>
      </c>
      <c r="N39" s="24">
        <f t="shared" si="21"/>
        <v>3</v>
      </c>
      <c r="O39" s="24">
        <f t="shared" si="21"/>
        <v>3</v>
      </c>
      <c r="P39" s="24">
        <f t="shared" si="21"/>
        <v>3</v>
      </c>
      <c r="Q39" s="24">
        <f t="shared" si="21"/>
        <v>3</v>
      </c>
      <c r="R39" s="24">
        <f t="shared" si="21"/>
        <v>3</v>
      </c>
      <c r="S39" s="10">
        <f t="shared" si="2"/>
        <v>18</v>
      </c>
      <c r="U39" s="26">
        <v>35</v>
      </c>
      <c r="V39">
        <f>'Calving input'!I53/2+'Calving input'!I54/2</f>
        <v>10</v>
      </c>
      <c r="W39" s="24">
        <f t="shared" si="22"/>
        <v>10</v>
      </c>
      <c r="X39" s="24">
        <f t="shared" si="22"/>
        <v>10</v>
      </c>
      <c r="Y39" s="24">
        <f t="shared" si="22"/>
        <v>10</v>
      </c>
      <c r="Z39" s="24">
        <f t="shared" si="22"/>
        <v>10</v>
      </c>
      <c r="AA39" s="24">
        <f t="shared" si="22"/>
        <v>10</v>
      </c>
      <c r="AB39" s="24">
        <f t="shared" si="22"/>
        <v>10</v>
      </c>
      <c r="AC39" s="24">
        <f t="shared" si="22"/>
        <v>10</v>
      </c>
      <c r="AD39" s="24">
        <f t="shared" si="22"/>
        <v>10</v>
      </c>
      <c r="AE39" s="24">
        <f t="shared" si="22"/>
        <v>10</v>
      </c>
      <c r="AF39" s="24">
        <f t="shared" si="22"/>
        <v>10</v>
      </c>
      <c r="AG39" s="24">
        <f t="shared" si="22"/>
        <v>10</v>
      </c>
      <c r="AH39" s="24">
        <f t="shared" si="22"/>
        <v>10</v>
      </c>
      <c r="AI39" s="24">
        <f t="shared" si="22"/>
        <v>10</v>
      </c>
      <c r="AJ39" s="10">
        <f t="shared" si="5"/>
        <v>60</v>
      </c>
      <c r="AL39" s="48">
        <f t="shared" si="16"/>
        <v>46446</v>
      </c>
      <c r="AM39" s="26">
        <v>35</v>
      </c>
      <c r="AN39" s="11">
        <f t="shared" si="6"/>
        <v>1891.1243988909159</v>
      </c>
      <c r="AO39" s="11">
        <f t="shared" si="7"/>
        <v>1837.2163510342193</v>
      </c>
      <c r="AP39" s="11">
        <f t="shared" si="8"/>
        <v>1771.0907029935574</v>
      </c>
      <c r="AQ39" s="11">
        <f t="shared" si="9"/>
        <v>1791.2336035321257</v>
      </c>
      <c r="AR39" s="11">
        <f t="shared" si="10"/>
        <v>1768.1890794900676</v>
      </c>
      <c r="AS39" s="11">
        <f t="shared" si="11"/>
        <v>1821.6890294000787</v>
      </c>
      <c r="AT39" s="11">
        <f t="shared" si="12"/>
        <v>1870.4657184958796</v>
      </c>
      <c r="AU39" s="11">
        <f t="shared" si="13"/>
        <v>1806.2045146699602</v>
      </c>
      <c r="AV39" s="11">
        <f t="shared" si="14"/>
        <v>1891.1243988909159</v>
      </c>
      <c r="AW39" s="15">
        <f t="shared" si="15"/>
        <v>52951.483168945648</v>
      </c>
      <c r="AX39" s="15">
        <f t="shared" si="17"/>
        <v>7968.1274900398412</v>
      </c>
      <c r="AY39" s="44">
        <f t="shared" si="18"/>
        <v>6772.9083665338649</v>
      </c>
    </row>
    <row r="40" spans="2:51" ht="13" thickBot="1" x14ac:dyDescent="0.3">
      <c r="D40" s="27">
        <v>36</v>
      </c>
      <c r="E40" s="14">
        <f>'Calving input'!H54/2+'Calving input'!H55/2</f>
        <v>3</v>
      </c>
      <c r="F40" s="38">
        <f t="shared" si="21"/>
        <v>3</v>
      </c>
      <c r="G40" s="38">
        <f t="shared" si="21"/>
        <v>3</v>
      </c>
      <c r="H40" s="38">
        <f t="shared" si="21"/>
        <v>3</v>
      </c>
      <c r="I40" s="38">
        <f t="shared" si="21"/>
        <v>3</v>
      </c>
      <c r="J40" s="38">
        <f t="shared" si="21"/>
        <v>3</v>
      </c>
      <c r="K40" s="38">
        <f t="shared" si="21"/>
        <v>3</v>
      </c>
      <c r="L40" s="38">
        <f t="shared" si="21"/>
        <v>3</v>
      </c>
      <c r="M40" s="38">
        <f t="shared" si="21"/>
        <v>3</v>
      </c>
      <c r="N40" s="38">
        <f t="shared" si="21"/>
        <v>3</v>
      </c>
      <c r="O40" s="38">
        <f t="shared" si="21"/>
        <v>3</v>
      </c>
      <c r="P40" s="38">
        <f t="shared" si="21"/>
        <v>3</v>
      </c>
      <c r="Q40" s="38">
        <f t="shared" si="21"/>
        <v>3</v>
      </c>
      <c r="R40" s="38">
        <f t="shared" si="21"/>
        <v>3</v>
      </c>
      <c r="S40" s="39">
        <f t="shared" si="2"/>
        <v>18</v>
      </c>
      <c r="U40" s="27">
        <v>36</v>
      </c>
      <c r="V40" s="14">
        <f>'Calving input'!I54/2+'Calving input'!I55/2</f>
        <v>10</v>
      </c>
      <c r="W40" s="38">
        <f t="shared" si="22"/>
        <v>10</v>
      </c>
      <c r="X40" s="38">
        <f t="shared" si="22"/>
        <v>10</v>
      </c>
      <c r="Y40" s="38">
        <f t="shared" si="22"/>
        <v>10</v>
      </c>
      <c r="Z40" s="38">
        <f t="shared" si="22"/>
        <v>10</v>
      </c>
      <c r="AA40" s="38">
        <f t="shared" si="22"/>
        <v>10</v>
      </c>
      <c r="AB40" s="38">
        <f t="shared" si="22"/>
        <v>10</v>
      </c>
      <c r="AC40" s="38">
        <f t="shared" si="22"/>
        <v>10</v>
      </c>
      <c r="AD40" s="38">
        <f t="shared" si="22"/>
        <v>10</v>
      </c>
      <c r="AE40" s="38">
        <f t="shared" si="22"/>
        <v>10</v>
      </c>
      <c r="AF40" s="38">
        <f t="shared" si="22"/>
        <v>10</v>
      </c>
      <c r="AG40" s="38">
        <f t="shared" si="22"/>
        <v>10</v>
      </c>
      <c r="AH40" s="38">
        <f t="shared" si="22"/>
        <v>10</v>
      </c>
      <c r="AI40" s="38">
        <f t="shared" si="22"/>
        <v>10</v>
      </c>
      <c r="AJ40" s="10">
        <f t="shared" si="5"/>
        <v>60</v>
      </c>
      <c r="AL40" s="49">
        <f t="shared" si="16"/>
        <v>46477</v>
      </c>
      <c r="AM40" s="27">
        <v>36</v>
      </c>
      <c r="AN40" s="11">
        <f t="shared" si="6"/>
        <v>1891.1243988909159</v>
      </c>
      <c r="AO40" s="11">
        <f t="shared" si="7"/>
        <v>1837.2163510342193</v>
      </c>
      <c r="AP40" s="11">
        <f t="shared" si="8"/>
        <v>1771.0907029935574</v>
      </c>
      <c r="AQ40" s="11">
        <f t="shared" si="9"/>
        <v>1791.2336035321257</v>
      </c>
      <c r="AR40" s="11">
        <f t="shared" si="10"/>
        <v>1768.1890794900676</v>
      </c>
      <c r="AS40" s="11">
        <f t="shared" si="11"/>
        <v>1821.6890294000787</v>
      </c>
      <c r="AT40" s="11">
        <f t="shared" si="12"/>
        <v>1870.4657184958796</v>
      </c>
      <c r="AU40" s="11">
        <f t="shared" si="13"/>
        <v>1806.2045146699602</v>
      </c>
      <c r="AV40" s="11">
        <f t="shared" si="14"/>
        <v>1891.1243988909159</v>
      </c>
      <c r="AW40" s="28">
        <f t="shared" si="15"/>
        <v>58624.856365618391</v>
      </c>
      <c r="AX40" s="28">
        <f t="shared" si="17"/>
        <v>7968.1274900398412</v>
      </c>
      <c r="AY40" s="255">
        <f t="shared" si="18"/>
        <v>6772.9083665338649</v>
      </c>
    </row>
    <row r="41" spans="2:51" ht="13" thickBot="1" x14ac:dyDescent="0.3">
      <c r="B41" s="3"/>
      <c r="AX41" s="15"/>
      <c r="AY41" s="15"/>
    </row>
    <row r="42" spans="2:51" ht="13" x14ac:dyDescent="0.3">
      <c r="C42" s="6" t="s">
        <v>1</v>
      </c>
      <c r="D42" s="7" t="s">
        <v>2</v>
      </c>
      <c r="E42" s="40">
        <v>1</v>
      </c>
      <c r="F42" s="40">
        <v>2</v>
      </c>
      <c r="G42" s="40">
        <v>3</v>
      </c>
      <c r="H42" s="40">
        <v>4</v>
      </c>
      <c r="I42" s="40">
        <v>5</v>
      </c>
      <c r="J42" s="40">
        <v>6</v>
      </c>
      <c r="K42" s="40">
        <v>7</v>
      </c>
      <c r="L42" s="40">
        <v>8</v>
      </c>
      <c r="M42" s="40">
        <v>9</v>
      </c>
      <c r="N42" s="40">
        <v>10</v>
      </c>
      <c r="O42" s="40">
        <v>11</v>
      </c>
      <c r="P42" s="40">
        <v>12</v>
      </c>
      <c r="Q42" s="40">
        <v>13</v>
      </c>
      <c r="R42" s="40">
        <v>14</v>
      </c>
      <c r="S42" s="41" t="s">
        <v>85</v>
      </c>
      <c r="T42" s="7"/>
      <c r="U42" s="7"/>
      <c r="V42" s="7"/>
      <c r="W42" s="7"/>
      <c r="X42" s="7"/>
      <c r="Y42" s="7"/>
      <c r="Z42" s="7"/>
      <c r="AA42" s="7"/>
      <c r="AB42" s="8"/>
    </row>
    <row r="43" spans="2:51" x14ac:dyDescent="0.25">
      <c r="C43" s="9" t="s">
        <v>3</v>
      </c>
      <c r="D43" s="11" t="s">
        <v>4</v>
      </c>
      <c r="E43" s="42">
        <v>0.85</v>
      </c>
      <c r="F43" s="42">
        <v>1.1000000000000001</v>
      </c>
      <c r="G43" s="42">
        <v>1.25</v>
      </c>
      <c r="H43" s="42">
        <v>1.23</v>
      </c>
      <c r="I43" s="42">
        <v>1.1399999999999999</v>
      </c>
      <c r="J43" s="42">
        <v>1.05</v>
      </c>
      <c r="K43" s="42">
        <v>0.97</v>
      </c>
      <c r="L43" s="42">
        <v>0.88</v>
      </c>
      <c r="M43" s="42">
        <v>0.8</v>
      </c>
      <c r="N43" s="42">
        <v>0.73</v>
      </c>
      <c r="O43" s="42">
        <v>0.65</v>
      </c>
      <c r="P43" s="42">
        <v>0.59</v>
      </c>
      <c r="Q43" s="42">
        <v>0.54</v>
      </c>
      <c r="R43" s="42">
        <v>0.49</v>
      </c>
      <c r="S43" s="43">
        <f>AVERAGE(E43:N43)</f>
        <v>1</v>
      </c>
      <c r="T43" s="15" t="s">
        <v>19</v>
      </c>
      <c r="U43" s="15" t="s">
        <v>52</v>
      </c>
      <c r="AB43" s="10"/>
    </row>
    <row r="44" spans="2:51" x14ac:dyDescent="0.25">
      <c r="C44" s="9"/>
      <c r="D44" t="s">
        <v>5</v>
      </c>
      <c r="E44" s="42">
        <v>0.99800399201596801</v>
      </c>
      <c r="F44" s="42">
        <v>1.4171656686626746</v>
      </c>
      <c r="G44" s="42">
        <v>1.3772455089820359</v>
      </c>
      <c r="H44" s="42">
        <v>1.2275449101796407</v>
      </c>
      <c r="I44" s="42">
        <v>1.1177644710578842</v>
      </c>
      <c r="J44" s="42">
        <v>0.99800399201596801</v>
      </c>
      <c r="K44" s="42">
        <v>0.8782435129740519</v>
      </c>
      <c r="L44" s="42">
        <v>0.7684630738522954</v>
      </c>
      <c r="M44" s="42">
        <v>0.65868263473053901</v>
      </c>
      <c r="N44" s="42">
        <v>0.55888223552894212</v>
      </c>
      <c r="O44" s="42">
        <v>0.46906187624750495</v>
      </c>
      <c r="P44" s="42">
        <v>0.39920159680638723</v>
      </c>
      <c r="Q44" s="42">
        <v>0.3592814371257485</v>
      </c>
      <c r="R44" s="42">
        <v>0.3293413173652695</v>
      </c>
      <c r="S44" s="43">
        <f t="shared" ref="S44:S56" si="23">AVERAGE(E44:N44)</f>
        <v>1</v>
      </c>
      <c r="T44" s="15"/>
      <c r="U44" s="15"/>
      <c r="AB44" s="10"/>
    </row>
    <row r="45" spans="2:51" x14ac:dyDescent="0.25">
      <c r="C45" s="9" t="s">
        <v>6</v>
      </c>
      <c r="D45" t="s">
        <v>4</v>
      </c>
      <c r="E45" s="42">
        <v>0.8500000000000002</v>
      </c>
      <c r="F45" s="42">
        <v>1.1400000000000001</v>
      </c>
      <c r="G45" s="42">
        <v>1.2100000000000002</v>
      </c>
      <c r="H45" s="42">
        <v>1.1600000000000001</v>
      </c>
      <c r="I45" s="42">
        <v>1.1000000000000003</v>
      </c>
      <c r="J45" s="42">
        <v>1.0500000000000003</v>
      </c>
      <c r="K45" s="42">
        <v>0.9800000000000002</v>
      </c>
      <c r="L45" s="42">
        <v>0.91000000000000025</v>
      </c>
      <c r="M45" s="42">
        <v>0.82000000000000017</v>
      </c>
      <c r="N45" s="42">
        <v>0.78000000000000025</v>
      </c>
      <c r="O45" s="42">
        <v>0.72000000000000008</v>
      </c>
      <c r="P45" s="42">
        <v>0.67000000000000015</v>
      </c>
      <c r="Q45" s="42">
        <v>0.62000000000000011</v>
      </c>
      <c r="R45" s="42">
        <v>0.58000000000000007</v>
      </c>
      <c r="S45" s="43">
        <f t="shared" si="23"/>
        <v>1.0000000000000004</v>
      </c>
      <c r="T45" t="s">
        <v>6</v>
      </c>
      <c r="U45" t="s">
        <v>18</v>
      </c>
      <c r="V45" s="15"/>
      <c r="W45" s="15"/>
      <c r="X45" s="15"/>
      <c r="Y45" s="15"/>
      <c r="Z45" s="15"/>
      <c r="AA45" s="15"/>
      <c r="AB45" s="44"/>
    </row>
    <row r="46" spans="2:51" x14ac:dyDescent="0.25">
      <c r="C46" s="9"/>
      <c r="D46" t="s">
        <v>5</v>
      </c>
      <c r="E46" s="42">
        <v>0.99999999999999978</v>
      </c>
      <c r="F46" s="42">
        <v>1.2899999999999998</v>
      </c>
      <c r="G46" s="42">
        <v>1.2799999999999998</v>
      </c>
      <c r="H46" s="42">
        <v>1.2099999999999997</v>
      </c>
      <c r="I46" s="42">
        <v>1.1099999999999999</v>
      </c>
      <c r="J46" s="42">
        <v>1.0099999999999998</v>
      </c>
      <c r="K46" s="42">
        <v>0.90999999999999981</v>
      </c>
      <c r="L46" s="42">
        <v>0.81999999999999973</v>
      </c>
      <c r="M46" s="42">
        <v>0.72999999999999987</v>
      </c>
      <c r="N46" s="42">
        <v>0.6399999999999999</v>
      </c>
      <c r="O46" s="42">
        <v>0.54999999999999993</v>
      </c>
      <c r="P46" s="42">
        <v>0.46999999999999986</v>
      </c>
      <c r="Q46" s="42">
        <v>0.40999999999999986</v>
      </c>
      <c r="R46" s="42">
        <v>0.34999999999999992</v>
      </c>
      <c r="S46" s="43">
        <f t="shared" si="23"/>
        <v>1</v>
      </c>
      <c r="AB46" s="10"/>
    </row>
    <row r="47" spans="2:51" x14ac:dyDescent="0.25">
      <c r="C47" s="9" t="s">
        <v>7</v>
      </c>
      <c r="D47" t="s">
        <v>4</v>
      </c>
      <c r="E47" s="42">
        <v>0.85</v>
      </c>
      <c r="F47" s="42">
        <v>1.04</v>
      </c>
      <c r="G47" s="42">
        <v>1.1299999999999999</v>
      </c>
      <c r="H47" s="42">
        <v>1.1299999999999999</v>
      </c>
      <c r="I47" s="42">
        <v>1.07</v>
      </c>
      <c r="J47" s="42">
        <v>1.03</v>
      </c>
      <c r="K47" s="42">
        <v>1</v>
      </c>
      <c r="L47" s="42">
        <v>0.96</v>
      </c>
      <c r="M47" s="42">
        <v>0.92</v>
      </c>
      <c r="N47" s="42">
        <v>0.87</v>
      </c>
      <c r="O47" s="42">
        <v>0.82</v>
      </c>
      <c r="P47" s="42">
        <v>0.76</v>
      </c>
      <c r="Q47" s="42">
        <v>0.7</v>
      </c>
      <c r="R47" s="42">
        <v>0.64</v>
      </c>
      <c r="S47" s="43">
        <f t="shared" si="23"/>
        <v>1</v>
      </c>
      <c r="T47" t="s">
        <v>7</v>
      </c>
      <c r="U47" t="s">
        <v>17</v>
      </c>
      <c r="V47" s="15"/>
      <c r="W47" s="15"/>
      <c r="X47" s="15"/>
      <c r="Y47" s="15"/>
      <c r="Z47" s="15"/>
      <c r="AA47" s="15"/>
      <c r="AB47" s="44"/>
    </row>
    <row r="48" spans="2:51" x14ac:dyDescent="0.25">
      <c r="C48" s="9"/>
      <c r="D48" t="s">
        <v>5</v>
      </c>
      <c r="E48" s="42">
        <v>1.0010010010010011</v>
      </c>
      <c r="F48" s="42">
        <v>1.1611611611611612</v>
      </c>
      <c r="G48" s="42">
        <v>1.1811811811811812</v>
      </c>
      <c r="H48" s="42">
        <v>1.1811811811811812</v>
      </c>
      <c r="I48" s="42">
        <v>1.0910910910910911</v>
      </c>
      <c r="J48" s="42">
        <v>1.0210210210210211</v>
      </c>
      <c r="K48" s="42">
        <v>0.95095095095095095</v>
      </c>
      <c r="L48" s="42">
        <v>0.8808808808808809</v>
      </c>
      <c r="M48" s="42">
        <v>0.81081081081081086</v>
      </c>
      <c r="N48" s="42">
        <v>0.72072072072072069</v>
      </c>
      <c r="O48" s="42">
        <v>0.64064064064064064</v>
      </c>
      <c r="P48" s="42">
        <v>0.56056056056056058</v>
      </c>
      <c r="Q48" s="42">
        <v>0.49049049049049048</v>
      </c>
      <c r="R48" s="42">
        <v>0.44044044044044045</v>
      </c>
      <c r="S48" s="43">
        <f t="shared" si="23"/>
        <v>0.99999999999999978</v>
      </c>
      <c r="V48" s="15"/>
      <c r="W48" s="15"/>
      <c r="X48" s="15"/>
      <c r="Y48" s="15"/>
      <c r="Z48" s="15"/>
      <c r="AA48" s="15"/>
      <c r="AB48" s="44"/>
    </row>
    <row r="49" spans="3:28" x14ac:dyDescent="0.25">
      <c r="C49" s="9" t="s">
        <v>8</v>
      </c>
      <c r="D49" t="s">
        <v>4</v>
      </c>
      <c r="E49" s="42">
        <v>0.84915084915084926</v>
      </c>
      <c r="F49" s="42">
        <v>0.94905094905094911</v>
      </c>
      <c r="G49" s="42">
        <v>1.0389610389610391</v>
      </c>
      <c r="H49" s="42">
        <v>1.0889110889110891</v>
      </c>
      <c r="I49" s="42">
        <v>1.1188811188811192</v>
      </c>
      <c r="J49" s="42">
        <v>1.0989010989010992</v>
      </c>
      <c r="K49" s="42">
        <v>1.0689310689310692</v>
      </c>
      <c r="L49" s="42">
        <v>1.008991008991009</v>
      </c>
      <c r="M49" s="42">
        <v>0.92907092907092925</v>
      </c>
      <c r="N49" s="42">
        <v>0.84915084915084926</v>
      </c>
      <c r="O49" s="42">
        <v>0.75924075924075929</v>
      </c>
      <c r="P49" s="42">
        <v>0.68931068931068928</v>
      </c>
      <c r="Q49" s="42">
        <v>0.63936063936063947</v>
      </c>
      <c r="R49" s="42">
        <v>0.59940059940059942</v>
      </c>
      <c r="S49" s="43">
        <f t="shared" si="23"/>
        <v>1.0000000000000002</v>
      </c>
      <c r="T49" t="s">
        <v>15</v>
      </c>
      <c r="U49" t="s">
        <v>16</v>
      </c>
      <c r="AB49" s="10"/>
    </row>
    <row r="50" spans="3:28" x14ac:dyDescent="0.25">
      <c r="C50" s="9"/>
      <c r="D50" t="s">
        <v>5</v>
      </c>
      <c r="E50" s="42">
        <v>0.99601593625498008</v>
      </c>
      <c r="F50" s="42">
        <v>1.145418326693227</v>
      </c>
      <c r="G50" s="42">
        <v>1.2250996015936255</v>
      </c>
      <c r="H50" s="42">
        <v>1.2151394422310757</v>
      </c>
      <c r="I50" s="42">
        <v>1.145418326693227</v>
      </c>
      <c r="J50" s="42">
        <v>1.045816733067729</v>
      </c>
      <c r="K50" s="42">
        <v>0.9561752988047808</v>
      </c>
      <c r="L50" s="42">
        <v>0.85657370517928288</v>
      </c>
      <c r="M50" s="42">
        <v>0.75697211155378485</v>
      </c>
      <c r="N50" s="42">
        <v>0.65737051792828693</v>
      </c>
      <c r="O50" s="42">
        <v>0.52788844621513942</v>
      </c>
      <c r="P50" s="42">
        <v>0.42828685258964144</v>
      </c>
      <c r="Q50" s="42">
        <v>0.32868525896414347</v>
      </c>
      <c r="R50" s="42">
        <v>0.22908366533864544</v>
      </c>
      <c r="S50" s="43">
        <f t="shared" si="23"/>
        <v>0.99999999999999978</v>
      </c>
      <c r="AB50" s="10"/>
    </row>
    <row r="51" spans="3:28" x14ac:dyDescent="0.25">
      <c r="C51" s="9" t="s">
        <v>9</v>
      </c>
      <c r="D51" t="s">
        <v>4</v>
      </c>
      <c r="E51" s="42">
        <v>0.85</v>
      </c>
      <c r="F51" s="42">
        <v>1.04</v>
      </c>
      <c r="G51" s="42">
        <v>1.1200000000000001</v>
      </c>
      <c r="H51" s="42">
        <v>1.1200000000000001</v>
      </c>
      <c r="I51" s="42">
        <v>1.08</v>
      </c>
      <c r="J51" s="42">
        <v>1.04</v>
      </c>
      <c r="K51" s="42">
        <v>1</v>
      </c>
      <c r="L51" s="42">
        <v>0.96</v>
      </c>
      <c r="M51" s="42">
        <v>0.92</v>
      </c>
      <c r="N51" s="42">
        <v>0.87</v>
      </c>
      <c r="O51" s="42">
        <v>0.81</v>
      </c>
      <c r="P51" s="42">
        <v>0.75</v>
      </c>
      <c r="Q51" s="42">
        <v>0.67</v>
      </c>
      <c r="R51" s="42">
        <v>0.6</v>
      </c>
      <c r="S51" s="43">
        <f t="shared" si="23"/>
        <v>1</v>
      </c>
      <c r="T51" t="s">
        <v>13</v>
      </c>
      <c r="U51" t="s">
        <v>14</v>
      </c>
      <c r="AB51" s="10"/>
    </row>
    <row r="52" spans="3:28" x14ac:dyDescent="0.25">
      <c r="C52" s="9"/>
      <c r="D52" t="s">
        <v>5</v>
      </c>
      <c r="E52" s="42">
        <v>0.99900099900099892</v>
      </c>
      <c r="F52" s="42">
        <v>1.1988011988011986</v>
      </c>
      <c r="G52" s="42">
        <v>1.2087912087912087</v>
      </c>
      <c r="H52" s="42">
        <v>1.1388611388611387</v>
      </c>
      <c r="I52" s="42">
        <v>1.0689310689310689</v>
      </c>
      <c r="J52" s="42">
        <v>0.99900099900099892</v>
      </c>
      <c r="K52" s="42">
        <v>0.94905094905094889</v>
      </c>
      <c r="L52" s="42">
        <v>0.879120879120879</v>
      </c>
      <c r="M52" s="42">
        <v>0.8091908091908091</v>
      </c>
      <c r="N52" s="42">
        <v>0.74925074925074919</v>
      </c>
      <c r="O52" s="42">
        <v>0.70929070929070914</v>
      </c>
      <c r="P52" s="42">
        <v>0.64935064935064934</v>
      </c>
      <c r="Q52" s="42">
        <v>0.59940059940059931</v>
      </c>
      <c r="R52" s="42">
        <v>0.54945054945054939</v>
      </c>
      <c r="S52" s="43">
        <f t="shared" si="23"/>
        <v>0.99999999999999978</v>
      </c>
      <c r="AB52" s="10"/>
    </row>
    <row r="53" spans="3:28" x14ac:dyDescent="0.25">
      <c r="C53" s="9" t="s">
        <v>10</v>
      </c>
      <c r="D53" t="s">
        <v>4</v>
      </c>
      <c r="E53" s="42">
        <v>0.85085085085085088</v>
      </c>
      <c r="F53" s="42">
        <v>1.1811811811811812</v>
      </c>
      <c r="G53" s="42">
        <v>1.2412412412412412</v>
      </c>
      <c r="H53" s="42">
        <v>1.2412412412412412</v>
      </c>
      <c r="I53" s="42">
        <v>1.1711711711711712</v>
      </c>
      <c r="J53" s="42">
        <v>1.0610610610610611</v>
      </c>
      <c r="K53" s="42">
        <v>0.97097097097097096</v>
      </c>
      <c r="L53" s="42">
        <v>0.86086086086086089</v>
      </c>
      <c r="M53" s="42">
        <v>0.76076076076076082</v>
      </c>
      <c r="N53" s="42">
        <v>0.66066066066066065</v>
      </c>
      <c r="O53" s="42">
        <v>0.55055055055055058</v>
      </c>
      <c r="P53" s="42">
        <v>0.44044044044044045</v>
      </c>
      <c r="Q53" s="42">
        <v>0.36036036036036034</v>
      </c>
      <c r="R53" s="42">
        <v>0.28028028028028029</v>
      </c>
      <c r="S53" s="43">
        <f t="shared" si="23"/>
        <v>0.99999999999999978</v>
      </c>
      <c r="T53" t="s">
        <v>11</v>
      </c>
      <c r="U53" t="s">
        <v>12</v>
      </c>
      <c r="AB53" s="10"/>
    </row>
    <row r="54" spans="3:28" x14ac:dyDescent="0.25">
      <c r="C54" s="9"/>
      <c r="D54" t="s">
        <v>5</v>
      </c>
      <c r="E54" s="42">
        <v>0.99502487562189046</v>
      </c>
      <c r="F54" s="42">
        <v>1.1343283582089549</v>
      </c>
      <c r="G54" s="42">
        <v>1.2139303482587063</v>
      </c>
      <c r="H54" s="42">
        <v>1.2238805970149251</v>
      </c>
      <c r="I54" s="42">
        <v>1.1542288557213929</v>
      </c>
      <c r="J54" s="42">
        <v>1.0547263681592038</v>
      </c>
      <c r="K54" s="42">
        <v>0.9552238805970148</v>
      </c>
      <c r="L54" s="42">
        <v>0.85572139303482575</v>
      </c>
      <c r="M54" s="42">
        <v>0.7562189054726367</v>
      </c>
      <c r="N54" s="42">
        <v>0.65671641791044777</v>
      </c>
      <c r="O54" s="42">
        <v>0.54726368159203975</v>
      </c>
      <c r="P54" s="42">
        <v>0.43781094527363179</v>
      </c>
      <c r="Q54" s="42">
        <v>0.35820895522388052</v>
      </c>
      <c r="R54" s="42">
        <v>0.27860696517412936</v>
      </c>
      <c r="S54" s="43">
        <f t="shared" si="23"/>
        <v>0.99999999999999978</v>
      </c>
      <c r="AB54" s="10"/>
    </row>
    <row r="55" spans="3:28" x14ac:dyDescent="0.25">
      <c r="C55" s="9" t="s">
        <v>134</v>
      </c>
      <c r="D55" t="s">
        <v>4</v>
      </c>
      <c r="E55" s="42">
        <v>1.119</v>
      </c>
      <c r="F55" s="42">
        <v>1.224</v>
      </c>
      <c r="G55" s="42">
        <v>1.1950000000000001</v>
      </c>
      <c r="H55" s="42">
        <v>1.1339999999999999</v>
      </c>
      <c r="I55" s="42">
        <v>1.0529999999999999</v>
      </c>
      <c r="J55" s="42">
        <v>0.98699999999999999</v>
      </c>
      <c r="K55" s="42">
        <v>0.92400000000000004</v>
      </c>
      <c r="L55" s="42">
        <v>0.84699999999999998</v>
      </c>
      <c r="M55" s="42">
        <v>0.78300000000000003</v>
      </c>
      <c r="N55" s="42">
        <v>0.73299999999999998</v>
      </c>
      <c r="O55" s="42">
        <v>0.66370378151260501</v>
      </c>
      <c r="P55" s="42">
        <v>0.60056722689075626</v>
      </c>
      <c r="Q55" s="42">
        <v>0.54359033613445373</v>
      </c>
      <c r="R55" s="42">
        <v>0.49123319327731096</v>
      </c>
      <c r="S55" s="43">
        <f t="shared" si="23"/>
        <v>0.99990000000000001</v>
      </c>
      <c r="T55" t="s">
        <v>134</v>
      </c>
      <c r="U55" t="s">
        <v>136</v>
      </c>
      <c r="AB55" s="10"/>
    </row>
    <row r="56" spans="3:28" x14ac:dyDescent="0.25">
      <c r="C56" s="9"/>
      <c r="D56" t="s">
        <v>5</v>
      </c>
      <c r="E56" s="42">
        <v>1.2470000000000001</v>
      </c>
      <c r="F56" s="42">
        <v>1.3260000000000001</v>
      </c>
      <c r="G56" s="42">
        <v>1.2549999999999999</v>
      </c>
      <c r="H56" s="42">
        <v>1.151</v>
      </c>
      <c r="I56" s="42">
        <v>1.05</v>
      </c>
      <c r="J56" s="42">
        <v>0.95899999999999996</v>
      </c>
      <c r="K56" s="42">
        <v>0.874</v>
      </c>
      <c r="L56" s="42">
        <v>0.78200000000000003</v>
      </c>
      <c r="M56" s="42">
        <v>0.70499999999999996</v>
      </c>
      <c r="N56" s="42">
        <v>0.65100000000000002</v>
      </c>
      <c r="O56" s="42">
        <v>0.56289473684210534</v>
      </c>
      <c r="P56" s="42">
        <v>0.48131578947368425</v>
      </c>
      <c r="Q56" s="42">
        <v>0.41605263157894734</v>
      </c>
      <c r="R56" s="42">
        <v>0.35568421052631571</v>
      </c>
      <c r="S56" s="43">
        <f t="shared" si="23"/>
        <v>0.99999999999999978</v>
      </c>
      <c r="AB56" s="10"/>
    </row>
    <row r="57" spans="3:28" x14ac:dyDescent="0.25">
      <c r="C57" s="9" t="s">
        <v>135</v>
      </c>
      <c r="D57" t="s">
        <v>4</v>
      </c>
      <c r="E57" s="283">
        <v>1.0085325292206533</v>
      </c>
      <c r="F57" s="283">
        <v>1.1134071253210633</v>
      </c>
      <c r="G57" s="283">
        <v>1.1034208579922327</v>
      </c>
      <c r="H57" s="283">
        <v>1.0795345079276712</v>
      </c>
      <c r="I57" s="283">
        <v>1.0579943269428358</v>
      </c>
      <c r="J57" s="283">
        <v>1.0249186612811936</v>
      </c>
      <c r="K57" s="283">
        <v>0.98607954256498143</v>
      </c>
      <c r="L57" s="283">
        <v>0.94467548067603457</v>
      </c>
      <c r="M57" s="283">
        <v>0.88005323558789128</v>
      </c>
      <c r="N57" s="283">
        <v>0.8013837324854417</v>
      </c>
      <c r="O57" s="283">
        <v>0.72562266533870878</v>
      </c>
      <c r="P57" s="283">
        <v>0.65659591527168537</v>
      </c>
      <c r="Q57" s="283">
        <v>0.59430348228437158</v>
      </c>
      <c r="R57" s="283">
        <v>0.53706178710684016</v>
      </c>
      <c r="S57" s="43">
        <f t="shared" ref="S57:S58" si="24">AVERAGE(E57:N57)</f>
        <v>1</v>
      </c>
      <c r="T57" t="s">
        <v>135</v>
      </c>
      <c r="U57" t="s">
        <v>141</v>
      </c>
      <c r="AB57" s="10"/>
    </row>
    <row r="58" spans="3:28" ht="13" thickBot="1" x14ac:dyDescent="0.3">
      <c r="C58" s="12"/>
      <c r="D58" s="14" t="s">
        <v>5</v>
      </c>
      <c r="E58" s="284">
        <v>1.1461270712055274</v>
      </c>
      <c r="F58" s="284">
        <v>1.2365325501792115</v>
      </c>
      <c r="G58" s="284">
        <v>1.1874750050344074</v>
      </c>
      <c r="H58" s="284">
        <v>1.1231929296529468</v>
      </c>
      <c r="I58" s="284">
        <v>1.0626034361471524</v>
      </c>
      <c r="J58" s="284">
        <v>1.0012465204998369</v>
      </c>
      <c r="K58" s="284">
        <v>0.93745099404742571</v>
      </c>
      <c r="L58" s="284">
        <v>0.85988181074630499</v>
      </c>
      <c r="M58" s="284">
        <v>0.76715025333625197</v>
      </c>
      <c r="N58" s="284">
        <v>0.67833942915093448</v>
      </c>
      <c r="O58" s="284">
        <v>0.58653409287486813</v>
      </c>
      <c r="P58" s="284">
        <v>0.50152915187851044</v>
      </c>
      <c r="Q58" s="284">
        <v>0.43352519908142423</v>
      </c>
      <c r="R58" s="284">
        <v>0.37062154274411951</v>
      </c>
      <c r="S58" s="45">
        <f t="shared" si="24"/>
        <v>1</v>
      </c>
      <c r="T58" s="14"/>
      <c r="U58" s="14"/>
      <c r="V58" s="14"/>
      <c r="W58" s="14"/>
      <c r="X58" s="14"/>
      <c r="Y58" s="14"/>
      <c r="Z58" s="14"/>
      <c r="AA58" s="14"/>
      <c r="AB58"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Instructions</vt:lpstr>
      <vt:lpstr>Input</vt:lpstr>
      <vt:lpstr>Calving input</vt:lpstr>
      <vt:lpstr>Culling rate</vt:lpstr>
      <vt:lpstr>Output</vt:lpstr>
      <vt:lpstr>Output charts</vt:lpstr>
      <vt:lpstr>Outputs for chart</vt:lpstr>
      <vt:lpstr>Hidden calculation original</vt:lpstr>
      <vt:lpstr>Hidden calculation alter</vt:lpstr>
      <vt:lpstr>Yields for charts</vt:lpstr>
      <vt:lpstr>Lists</vt:lpstr>
      <vt:lpstr>'Calving input'!Print_Area</vt:lpstr>
      <vt:lpstr>Output!Print_Area</vt:lpstr>
      <vt:lpstr>'Calving input'!Print_Titles</vt:lpstr>
      <vt:lpstr>Output!Print_Titles</vt:lpstr>
    </vt:vector>
  </TitlesOfParts>
  <Company>AHDB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gooderhamc</dc:creator>
  <cp:lastModifiedBy>Freya Shuttleworth</cp:lastModifiedBy>
  <cp:lastPrinted>2018-06-15T13:28:35Z</cp:lastPrinted>
  <dcterms:created xsi:type="dcterms:W3CDTF">2017-11-01T10:59:13Z</dcterms:created>
  <dcterms:modified xsi:type="dcterms:W3CDTF">2025-06-05T09:15:27Z</dcterms:modified>
</cp:coreProperties>
</file>